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equipamentos\"/>
    </mc:Choice>
  </mc:AlternateContent>
  <xr:revisionPtr revIDLastSave="0" documentId="13_ncr:1_{6F4C8FCA-9FD8-4906-B621-F47CB88FE9DA}" xr6:coauthVersionLast="47" xr6:coauthVersionMax="47" xr10:uidLastSave="{00000000-0000-0000-0000-000000000000}"/>
  <bookViews>
    <workbookView xWindow="-120" yWindow="-120" windowWidth="20730" windowHeight="11160" tabRatio="537" xr2:uid="{00000000-000D-0000-FFFF-FFFF00000000}"/>
  </bookViews>
  <sheets>
    <sheet name="Empilhadeiras Elétricas" sheetId="42" r:id="rId1"/>
  </sheets>
  <definedNames>
    <definedName name="HTML_CodePage" hidden="1">1252</definedName>
    <definedName name="HTML_Control" localSheetId="0" hidden="1">{"'BUS'!$B$3:$G$69"}</definedName>
    <definedName name="HTML_Control" hidden="1">{"'BUS'!$B$3:$G$69"}</definedName>
    <definedName name="HTML_Description" hidden="1">""</definedName>
    <definedName name="HTML_Email" hidden="1">""</definedName>
    <definedName name="HTML_Header" hidden="1">""</definedName>
    <definedName name="HTML_LastUpdate" hidden="1">"19/02/2002"</definedName>
    <definedName name="HTML_LineAfter" hidden="1">FALSE</definedName>
    <definedName name="HTML_LineBefore" hidden="1">FALSE</definedName>
    <definedName name="HTML_Name" hidden="1">"Cristian Alleone Luksevicius"</definedName>
    <definedName name="HTML_OBDlg2" hidden="1">TRUE</definedName>
    <definedName name="HTML_OBDlg4" hidden="1">TRUE</definedName>
    <definedName name="HTML_OS" hidden="1">0</definedName>
    <definedName name="HTML_PathFile" hidden="1">"O:\FC\FCA\Controlling &amp; Reporting\TAXAS\2002\Bus.htm"</definedName>
    <definedName name="HTML_Title" hidden="1">"Product Calculation Model"</definedName>
    <definedName name="_xlnm.Print_Titles" localSheetId="0">'Empilhadeiras Elétricas'!$1:$1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42" l="1"/>
  <c r="K116" i="42" s="1"/>
  <c r="K117" i="42"/>
  <c r="I37" i="42" s="1"/>
  <c r="I39" i="42" s="1"/>
  <c r="K118" i="42"/>
  <c r="E39" i="42"/>
  <c r="E43" i="42"/>
  <c r="E45" i="42" s="1"/>
  <c r="F39" i="42"/>
  <c r="F43" i="42" s="1"/>
  <c r="G39" i="42"/>
  <c r="G43" i="42" s="1"/>
  <c r="H39" i="42"/>
  <c r="H40" i="42"/>
  <c r="I40" i="42" s="1"/>
  <c r="J39" i="42"/>
  <c r="K39" i="42"/>
  <c r="K129" i="42"/>
  <c r="K104" i="42"/>
  <c r="K122" i="42"/>
  <c r="G45" i="42" l="1"/>
  <c r="G46" i="42"/>
  <c r="H43" i="42"/>
  <c r="H46" i="42" s="1"/>
  <c r="T73" i="42" s="1"/>
  <c r="H45" i="42"/>
  <c r="E46" i="42"/>
  <c r="T70" i="42" s="1"/>
  <c r="N70" i="42"/>
  <c r="F46" i="42"/>
  <c r="T71" i="42" s="1"/>
  <c r="F45" i="42"/>
  <c r="J40" i="42"/>
  <c r="I43" i="42"/>
  <c r="N74" i="42" s="1"/>
  <c r="K120" i="42"/>
  <c r="D37" i="42" s="1"/>
  <c r="T72" i="42"/>
  <c r="N72" i="42"/>
  <c r="N71" i="42"/>
  <c r="N73" i="42" l="1"/>
  <c r="K124" i="42"/>
  <c r="I45" i="42"/>
  <c r="I46" i="42"/>
  <c r="T74" i="42" s="1"/>
  <c r="K40" i="42"/>
  <c r="K43" i="42" s="1"/>
  <c r="J43" i="42"/>
  <c r="D43" i="42"/>
  <c r="D57" i="42"/>
  <c r="D56" i="42" l="1"/>
  <c r="J46" i="42"/>
  <c r="T75" i="42" s="1"/>
  <c r="J45" i="42"/>
  <c r="N75" i="42"/>
  <c r="K46" i="42"/>
  <c r="T76" i="42" s="1"/>
  <c r="N76" i="42"/>
  <c r="K45" i="42"/>
  <c r="N69" i="42"/>
  <c r="D45" i="42"/>
  <c r="D59" i="42"/>
  <c r="D52" i="42"/>
  <c r="D46" i="42" l="1"/>
  <c r="D47" i="42"/>
  <c r="E47" i="42" s="1"/>
  <c r="F47" i="42" s="1"/>
  <c r="G47" i="42" s="1"/>
  <c r="H47" i="42" s="1"/>
  <c r="I47" i="42" s="1"/>
  <c r="J47" i="42" s="1"/>
  <c r="K47" i="42" s="1"/>
  <c r="O70" i="42"/>
  <c r="O71" i="42" s="1"/>
  <c r="O72" i="42" s="1"/>
  <c r="O73" i="42" s="1"/>
  <c r="O74" i="42" s="1"/>
  <c r="O75" i="42" s="1"/>
  <c r="O76" i="42" s="1"/>
  <c r="P70" i="42" l="1"/>
  <c r="I59" i="42"/>
  <c r="I60" i="42" s="1"/>
  <c r="T69" i="42"/>
  <c r="D48" i="42"/>
  <c r="E48" i="42" s="1"/>
  <c r="F48" i="42" s="1"/>
  <c r="G48" i="42" s="1"/>
  <c r="H48" i="42" s="1"/>
  <c r="I48" i="42" s="1"/>
  <c r="J48" i="42" s="1"/>
  <c r="K48" i="42" s="1"/>
  <c r="U70" i="42" l="1"/>
  <c r="U71" i="42" s="1"/>
  <c r="U72" i="42" s="1"/>
  <c r="U73" i="42" s="1"/>
  <c r="U74" i="42" s="1"/>
  <c r="U75" i="42" s="1"/>
  <c r="U76" i="42" s="1"/>
  <c r="Q70" i="42"/>
  <c r="P71" i="42"/>
  <c r="P72" i="42" s="1"/>
  <c r="P73" i="42" s="1"/>
  <c r="P74" i="42" s="1"/>
  <c r="P75" i="42" s="1"/>
  <c r="P76" i="42" s="1"/>
  <c r="R70" i="42" l="1"/>
  <c r="Q71" i="42"/>
  <c r="V70" i="42"/>
  <c r="W70" i="42" l="1"/>
  <c r="V71" i="42"/>
  <c r="V72" i="42" s="1"/>
  <c r="V73" i="42" s="1"/>
  <c r="V74" i="42" s="1"/>
  <c r="V75" i="42" s="1"/>
  <c r="V76" i="42" s="1"/>
  <c r="R71" i="42"/>
  <c r="Q72" i="42"/>
  <c r="I52" i="42" l="1"/>
  <c r="R72" i="42"/>
  <c r="Q73" i="42"/>
  <c r="W71" i="42"/>
  <c r="X70" i="42"/>
  <c r="W72" i="42" l="1"/>
  <c r="X71" i="42"/>
  <c r="R73" i="42"/>
  <c r="Q74" i="42"/>
  <c r="W73" i="42" l="1"/>
  <c r="X72" i="42"/>
  <c r="I53" i="42" s="1"/>
  <c r="R74" i="42"/>
  <c r="Q75" i="42"/>
  <c r="R75" i="42" l="1"/>
  <c r="Q76" i="42"/>
  <c r="R76" i="42" s="1"/>
  <c r="W74" i="42"/>
  <c r="X73" i="42"/>
  <c r="W75" i="42" l="1"/>
  <c r="X74" i="42"/>
  <c r="W76" i="42" l="1"/>
  <c r="X76" i="42" s="1"/>
  <c r="X75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 - Industrial Control</author>
    <author>TST</author>
  </authors>
  <commentList>
    <comment ref="C45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hide this row</t>
        </r>
      </text>
    </comment>
    <comment ref="C47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hide this row</t>
        </r>
      </text>
    </comment>
    <comment ref="C55" authorId="1" shapeId="0" xr:uid="{00000000-0006-0000-0000-000003000000}">
      <text>
        <r>
          <rPr>
            <b/>
            <sz val="8"/>
            <color indexed="81"/>
            <rFont val="Tahoma"/>
          </rPr>
          <t>TST:</t>
        </r>
        <r>
          <rPr>
            <sz val="8"/>
            <color indexed="81"/>
            <rFont val="Tahoma"/>
          </rPr>
          <t xml:space="preserve">
Discount factor: Scania´s WACC a.a.</t>
        </r>
      </text>
    </comment>
    <comment ref="Q7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OBS: FÓRMULA DIFERENTE DAS DEMAIS</t>
        </r>
      </text>
    </comment>
  </commentList>
</comments>
</file>

<file path=xl/sharedStrings.xml><?xml version="1.0" encoding="utf-8"?>
<sst xmlns="http://schemas.openxmlformats.org/spreadsheetml/2006/main" count="57" uniqueCount="47">
  <si>
    <t>BACKGROUND</t>
  </si>
  <si>
    <t>Quantidade</t>
  </si>
  <si>
    <t>Custo Unit.</t>
  </si>
  <si>
    <t>Descrição</t>
  </si>
  <si>
    <t>Custo de Investimentos</t>
  </si>
  <si>
    <t>Valor Equip.</t>
  </si>
  <si>
    <t>NORMAL</t>
  </si>
  <si>
    <t>months</t>
  </si>
  <si>
    <t>DISCOUNTED</t>
  </si>
  <si>
    <t>YEAR</t>
  </si>
  <si>
    <t>years</t>
  </si>
  <si>
    <t>rounded</t>
  </si>
  <si>
    <t>Investment</t>
  </si>
  <si>
    <t>Discounted Cash Flow (DCF)</t>
  </si>
  <si>
    <t>Accumulated DCF</t>
  </si>
  <si>
    <t>DISCOUNTED Payback:</t>
  </si>
  <si>
    <t>year(s) and</t>
  </si>
  <si>
    <t>month(s)</t>
  </si>
  <si>
    <t>NORMAL Payback:</t>
  </si>
  <si>
    <t>IRR</t>
  </si>
  <si>
    <t>FLUXO DE CAIXA</t>
  </si>
  <si>
    <t>INDICADORES ECONÔMICOS</t>
  </si>
  <si>
    <t>APRESENTAÇÃO GRÁFICA</t>
  </si>
  <si>
    <t>EMPILHADEIRA</t>
  </si>
  <si>
    <t>BATERIAS</t>
  </si>
  <si>
    <t>CARREGADOR</t>
  </si>
  <si>
    <t>Maintenance Costs</t>
  </si>
  <si>
    <t>Saving - Renting Cost</t>
  </si>
  <si>
    <t>ALTERNATIVA 1 - Aluguel</t>
  </si>
  <si>
    <t>ALTERNATIVA 2 - Aquisição</t>
  </si>
  <si>
    <t>CUSTO DE INVESTIMENTOS INICIAL</t>
  </si>
  <si>
    <t>REPOSIÇÃO DE 2 BATERIAS NO 5º ANO</t>
  </si>
  <si>
    <t>CUSTO DE INVESTIMENTOS TOTAL</t>
  </si>
  <si>
    <t>Custos com Manutenção</t>
  </si>
  <si>
    <t>Year</t>
  </si>
  <si>
    <t>R$</t>
  </si>
  <si>
    <t>Total</t>
  </si>
  <si>
    <t>NPV Aluguel - R$</t>
  </si>
  <si>
    <t>NPV Aquisição - R$</t>
  </si>
  <si>
    <t>Difference of Cash Flows</t>
  </si>
  <si>
    <t>Discount factor:</t>
  </si>
  <si>
    <t>Nominal Cash Flow</t>
  </si>
  <si>
    <t>RENT OR BUY - EMPILHADEIRAS ELÉTRICAS</t>
  </si>
  <si>
    <t>COMENTÁRIOS</t>
  </si>
  <si>
    <t xml:space="preserve">CÁLCULO </t>
  </si>
  <si>
    <r>
      <t xml:space="preserve">Discounted Cash Flow (DCF) </t>
    </r>
    <r>
      <rPr>
        <b/>
        <i/>
        <sz val="11"/>
        <color indexed="17"/>
        <rFont val="Arial"/>
      </rPr>
      <t>not rounded</t>
    </r>
  </si>
  <si>
    <r>
      <t xml:space="preserve">Accumulated DCF </t>
    </r>
    <r>
      <rPr>
        <b/>
        <i/>
        <sz val="11"/>
        <color indexed="17"/>
        <rFont val="Arial"/>
      </rPr>
      <t>not rounded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</si>
</sst>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 * #,##0.00_)&quot;kr&quot;_ ;_ * \(#,##0.00\)&quot;kr&quot;_ ;_ * &quot;-&quot;??_)&quot;kr&quot;_ ;_ @_ "/>
    <numFmt numFmtId="167" formatCode="&quot;$&quot;#,##0;[Red]\-&quot;$&quot;#,##0"/>
    <numFmt numFmtId="168" formatCode="#,##0.00\ &quot;kr&quot;;[Red]\-#,##0.00\ &quot;kr&quot;"/>
    <numFmt numFmtId="169" formatCode="0.00_)"/>
    <numFmt numFmtId="170" formatCode="General_)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0.0"/>
    <numFmt numFmtId="174" formatCode="_(* #,##0.0_);_(* \(#,##0.0\);_(* &quot;-&quot;??_);_(@_)"/>
  </numFmts>
  <fonts count="43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6"/>
      <name val="Helv"/>
    </font>
    <font>
      <sz val="12"/>
      <name val="Helv"/>
      <family val="2"/>
    </font>
    <font>
      <sz val="10"/>
      <name val="Geneva"/>
    </font>
    <font>
      <sz val="10"/>
      <color indexed="12"/>
      <name val="Times New Roman"/>
      <family val="1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4"/>
      <color indexed="81"/>
      <name val="Tahoma"/>
      <family val="2"/>
    </font>
    <font>
      <b/>
      <sz val="10"/>
      <name val="Arial"/>
    </font>
    <font>
      <b/>
      <sz val="10"/>
      <color indexed="10"/>
      <name val="Arial"/>
    </font>
    <font>
      <sz val="10"/>
      <color indexed="10"/>
      <name val="Arial"/>
    </font>
    <font>
      <b/>
      <sz val="10"/>
      <color indexed="9"/>
      <name val="Arial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</font>
    <font>
      <sz val="11"/>
      <name val="Arial"/>
    </font>
    <font>
      <sz val="11"/>
      <color indexed="17"/>
      <name val="Arial"/>
    </font>
    <font>
      <b/>
      <i/>
      <sz val="11"/>
      <color indexed="1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7" fillId="0" borderId="0"/>
    <xf numFmtId="9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" fillId="0" borderId="0"/>
    <xf numFmtId="172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43" fontId="5" fillId="0" borderId="0" xfId="1" applyFont="1" applyBorder="1" applyAlignment="1"/>
    <xf numFmtId="0" fontId="5" fillId="2" borderId="0" xfId="0" applyFont="1" applyFill="1"/>
    <xf numFmtId="43" fontId="5" fillId="2" borderId="0" xfId="1" applyFont="1" applyFill="1" applyBorder="1" applyAlignment="1"/>
    <xf numFmtId="0" fontId="4" fillId="0" borderId="0" xfId="0" applyFont="1" applyAlignment="1">
      <alignment horizontal="left" indent="1"/>
    </xf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5" fillId="0" borderId="0" xfId="0" applyFont="1" applyAlignment="1">
      <alignment horizontal="left" indent="1"/>
    </xf>
    <xf numFmtId="0" fontId="5" fillId="0" borderId="1" xfId="0" applyFont="1" applyBorder="1"/>
    <xf numFmtId="0" fontId="5" fillId="0" borderId="0" xfId="0" applyFont="1" applyAlignment="1">
      <alignment horizontal="right"/>
    </xf>
    <xf numFmtId="43" fontId="5" fillId="0" borderId="0" xfId="1" applyFont="1" applyFill="1" applyBorder="1" applyAlignment="1"/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right" indent="1"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5" fillId="0" borderId="0" xfId="0" applyFont="1"/>
    <xf numFmtId="1" fontId="15" fillId="0" borderId="0" xfId="0" applyNumberFormat="1" applyFont="1"/>
    <xf numFmtId="0" fontId="14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2" fillId="0" borderId="0" xfId="0" applyNumberFormat="1" applyFont="1"/>
    <xf numFmtId="164" fontId="1" fillId="0" borderId="0" xfId="1" applyNumberFormat="1" applyFill="1" applyProtection="1"/>
    <xf numFmtId="164" fontId="6" fillId="0" borderId="0" xfId="0" applyNumberFormat="1" applyFont="1" applyAlignment="1">
      <alignment horizontal="right" indent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19" fillId="0" borderId="0" xfId="0" applyFont="1" applyAlignment="1">
      <alignment horizontal="right"/>
    </xf>
    <xf numFmtId="0" fontId="19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10" fontId="19" fillId="0" borderId="0" xfId="10" applyNumberFormat="1" applyFont="1" applyFill="1" applyBorder="1" applyAlignment="1" applyProtection="1">
      <alignment horizontal="right" vertical="center"/>
    </xf>
    <xf numFmtId="1" fontId="19" fillId="0" borderId="0" xfId="1" applyNumberFormat="1" applyFont="1" applyFill="1" applyBorder="1" applyAlignment="1" applyProtection="1">
      <alignment vertical="center"/>
    </xf>
    <xf numFmtId="0" fontId="19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0" fontId="1" fillId="0" borderId="0" xfId="0" applyFont="1"/>
    <xf numFmtId="1" fontId="1" fillId="0" borderId="0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Protection="1"/>
    <xf numFmtId="0" fontId="1" fillId="0" borderId="0" xfId="0" applyFont="1" applyAlignment="1">
      <alignment horizontal="right"/>
    </xf>
    <xf numFmtId="0" fontId="16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1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16" fillId="0" borderId="0" xfId="0" applyNumberFormat="1" applyFont="1"/>
    <xf numFmtId="164" fontId="28" fillId="0" borderId="0" xfId="0" applyNumberFormat="1" applyFont="1"/>
    <xf numFmtId="0" fontId="25" fillId="0" borderId="0" xfId="0" applyFont="1" applyAlignment="1">
      <alignment horizontal="right"/>
    </xf>
    <xf numFmtId="173" fontId="16" fillId="0" borderId="0" xfId="0" applyNumberFormat="1" applyFont="1"/>
    <xf numFmtId="1" fontId="16" fillId="0" borderId="0" xfId="0" applyNumberFormat="1" applyFont="1" applyAlignment="1">
      <alignment horizontal="center"/>
    </xf>
    <xf numFmtId="173" fontId="28" fillId="0" borderId="0" xfId="0" applyNumberFormat="1" applyFont="1"/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1" fontId="11" fillId="0" borderId="1" xfId="1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/>
    </xf>
    <xf numFmtId="0" fontId="22" fillId="0" borderId="0" xfId="0" applyFont="1"/>
    <xf numFmtId="43" fontId="6" fillId="0" borderId="0" xfId="1" applyFont="1" applyFill="1" applyBorder="1" applyAlignment="1">
      <alignment horizontal="right"/>
    </xf>
    <xf numFmtId="4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12" fillId="0" borderId="0" xfId="0" applyNumberFormat="1" applyFont="1"/>
    <xf numFmtId="0" fontId="0" fillId="0" borderId="0" xfId="0" applyAlignment="1">
      <alignment horizontal="center" vertical="center"/>
    </xf>
    <xf numFmtId="0" fontId="34" fillId="0" borderId="1" xfId="0" applyFont="1" applyBorder="1"/>
    <xf numFmtId="0" fontId="34" fillId="0" borderId="0" xfId="0" applyFont="1"/>
    <xf numFmtId="0" fontId="35" fillId="0" borderId="1" xfId="0" applyFont="1" applyBorder="1"/>
    <xf numFmtId="0" fontId="33" fillId="2" borderId="0" xfId="0" applyFont="1" applyFill="1" applyAlignment="1">
      <alignment horizontal="left" indent="1"/>
    </xf>
    <xf numFmtId="0" fontId="37" fillId="0" borderId="9" xfId="0" applyFont="1" applyBorder="1" applyAlignment="1">
      <alignment horizontal="center"/>
    </xf>
    <xf numFmtId="1" fontId="37" fillId="0" borderId="9" xfId="0" applyNumberFormat="1" applyFont="1" applyBorder="1" applyAlignment="1">
      <alignment horizontal="center"/>
    </xf>
    <xf numFmtId="1" fontId="33" fillId="0" borderId="9" xfId="0" applyNumberFormat="1" applyFont="1" applyBorder="1" applyAlignment="1">
      <alignment horizontal="center"/>
    </xf>
    <xf numFmtId="164" fontId="38" fillId="0" borderId="9" xfId="1" applyNumberFormat="1" applyFont="1" applyBorder="1" applyAlignment="1"/>
    <xf numFmtId="164" fontId="38" fillId="0" borderId="9" xfId="1" applyNumberFormat="1" applyFont="1" applyFill="1" applyBorder="1" applyAlignment="1"/>
    <xf numFmtId="164" fontId="37" fillId="0" borderId="9" xfId="0" applyNumberFormat="1" applyFont="1" applyBorder="1"/>
    <xf numFmtId="0" fontId="29" fillId="2" borderId="0" xfId="0" applyFont="1" applyFill="1" applyAlignment="1">
      <alignment horizontal="left" indent="1"/>
    </xf>
    <xf numFmtId="0" fontId="37" fillId="0" borderId="0" xfId="0" applyFont="1"/>
    <xf numFmtId="0" fontId="38" fillId="0" borderId="1" xfId="0" applyFont="1" applyBorder="1" applyAlignment="1">
      <alignment horizontal="right"/>
    </xf>
    <xf numFmtId="0" fontId="32" fillId="0" borderId="1" xfId="0" applyFont="1" applyBorder="1"/>
    <xf numFmtId="0" fontId="38" fillId="0" borderId="1" xfId="0" applyFont="1" applyBorder="1" applyAlignment="1">
      <alignment horizontal="center"/>
    </xf>
    <xf numFmtId="164" fontId="38" fillId="0" borderId="1" xfId="0" applyNumberFormat="1" applyFont="1" applyBorder="1" applyAlignment="1">
      <alignment horizontal="right"/>
    </xf>
    <xf numFmtId="0" fontId="38" fillId="0" borderId="0" xfId="0" applyFont="1"/>
    <xf numFmtId="0" fontId="32" fillId="0" borderId="0" xfId="0" applyFont="1"/>
    <xf numFmtId="3" fontId="38" fillId="0" borderId="0" xfId="0" applyNumberFormat="1" applyFont="1"/>
    <xf numFmtId="41" fontId="38" fillId="0" borderId="0" xfId="0" applyNumberFormat="1" applyFont="1" applyAlignment="1">
      <alignment horizontal="right" indent="1"/>
    </xf>
    <xf numFmtId="164" fontId="38" fillId="0" borderId="0" xfId="0" applyNumberFormat="1" applyFont="1" applyAlignment="1">
      <alignment horizontal="right" indent="1"/>
    </xf>
    <xf numFmtId="0" fontId="37" fillId="0" borderId="10" xfId="0" applyFont="1" applyBorder="1"/>
    <xf numFmtId="0" fontId="33" fillId="0" borderId="10" xfId="0" applyFont="1" applyBorder="1"/>
    <xf numFmtId="164" fontId="37" fillId="0" borderId="10" xfId="0" applyNumberFormat="1" applyFont="1" applyBorder="1" applyAlignment="1">
      <alignment horizontal="right"/>
    </xf>
    <xf numFmtId="43" fontId="37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 horizontal="right"/>
    </xf>
    <xf numFmtId="164" fontId="37" fillId="0" borderId="10" xfId="0" applyNumberFormat="1" applyFont="1" applyBorder="1" applyAlignment="1">
      <alignment horizontal="right" indent="1"/>
    </xf>
    <xf numFmtId="164" fontId="38" fillId="0" borderId="0" xfId="0" applyNumberFormat="1" applyFont="1"/>
    <xf numFmtId="9" fontId="37" fillId="0" borderId="0" xfId="0" applyNumberFormat="1" applyFont="1"/>
    <xf numFmtId="0" fontId="37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9" fontId="39" fillId="0" borderId="0" xfId="0" applyNumberFormat="1" applyFont="1" applyAlignment="1">
      <alignment horizontal="right"/>
    </xf>
    <xf numFmtId="164" fontId="39" fillId="0" borderId="0" xfId="1" applyNumberFormat="1" applyFont="1" applyFill="1" applyBorder="1" applyAlignment="1" applyProtection="1">
      <alignment horizontal="center" vertical="center"/>
    </xf>
    <xf numFmtId="1" fontId="40" fillId="0" borderId="0" xfId="1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1" applyNumberFormat="1" applyFont="1" applyFill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vertical="center"/>
    </xf>
    <xf numFmtId="37" fontId="40" fillId="0" borderId="11" xfId="1" applyNumberFormat="1" applyFont="1" applyBorder="1" applyAlignment="1" applyProtection="1">
      <alignment horizontal="right" vertical="center"/>
      <protection locked="0"/>
    </xf>
    <xf numFmtId="37" fontId="40" fillId="0" borderId="12" xfId="1" applyNumberFormat="1" applyFont="1" applyBorder="1" applyAlignment="1" applyProtection="1">
      <alignment horizontal="right" vertical="center"/>
      <protection locked="0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37" fontId="40" fillId="0" borderId="14" xfId="1" applyNumberFormat="1" applyFont="1" applyBorder="1" applyAlignment="1" applyProtection="1">
      <alignment horizontal="right" vertical="center"/>
    </xf>
    <xf numFmtId="0" fontId="39" fillId="0" borderId="0" xfId="0" applyFont="1" applyAlignment="1">
      <alignment vertical="center"/>
    </xf>
    <xf numFmtId="164" fontId="39" fillId="0" borderId="0" xfId="1" applyNumberFormat="1" applyFont="1" applyBorder="1" applyAlignment="1" applyProtection="1">
      <alignment horizontal="right"/>
    </xf>
    <xf numFmtId="0" fontId="41" fillId="0" borderId="0" xfId="0" applyFont="1" applyAlignment="1">
      <alignment vertical="center"/>
    </xf>
    <xf numFmtId="174" fontId="41" fillId="0" borderId="0" xfId="1" applyNumberFormat="1" applyFont="1" applyFill="1" applyBorder="1" applyAlignment="1" applyProtection="1">
      <alignment horizontal="right" vertical="center"/>
    </xf>
    <xf numFmtId="164" fontId="39" fillId="0" borderId="0" xfId="1" applyNumberFormat="1" applyFont="1" applyBorder="1" applyAlignment="1" applyProtection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0" borderId="0" xfId="1" applyNumberFormat="1" applyFont="1" applyFill="1" applyBorder="1" applyAlignment="1" applyProtection="1">
      <alignment horizontal="right" vertical="center"/>
    </xf>
    <xf numFmtId="0" fontId="36" fillId="0" borderId="0" xfId="0" applyFont="1" applyAlignment="1">
      <alignment horizontal="center" vertical="center"/>
    </xf>
  </cellXfs>
  <cellStyles count="18">
    <cellStyle name="Hyperlänk_DoP Personal" xfId="2" xr:uid="{00000000-0005-0000-0000-000000000000}"/>
    <cellStyle name="Komma [0]_GRAF A-V vs FOREC" xfId="3" xr:uid="{00000000-0005-0000-0000-000001000000}"/>
    <cellStyle name="Komma_GRAF A-V vs FOREC" xfId="4" xr:uid="{00000000-0005-0000-0000-000002000000}"/>
    <cellStyle name="Millares [0]_Apertura" xfId="5" xr:uid="{00000000-0005-0000-0000-000003000000}"/>
    <cellStyle name="Millares_Apertura" xfId="6" xr:uid="{00000000-0005-0000-0000-000004000000}"/>
    <cellStyle name="Moneda [0]_Apertura" xfId="7" xr:uid="{00000000-0005-0000-0000-000005000000}"/>
    <cellStyle name="Moneda_Apertura" xfId="8" xr:uid="{00000000-0005-0000-0000-000006000000}"/>
    <cellStyle name="Normal" xfId="0" builtinId="0"/>
    <cellStyle name="Normal - Style1" xfId="9" xr:uid="{00000000-0005-0000-0000-000008000000}"/>
    <cellStyle name="Porcentagem" xfId="10" builtinId="5"/>
    <cellStyle name="Porcentual_TEMPORAL" xfId="11" xr:uid="{00000000-0005-0000-0000-00000A000000}"/>
    <cellStyle name="Standaard_GRAF A-V vs FOREC" xfId="12" xr:uid="{00000000-0005-0000-0000-00000B000000}"/>
    <cellStyle name="Tusental (0)_DQFREP1" xfId="13" xr:uid="{00000000-0005-0000-0000-00000C000000}"/>
    <cellStyle name="Tusental_Depspec" xfId="14" xr:uid="{00000000-0005-0000-0000-00000D000000}"/>
    <cellStyle name="Valuta (0)_DQFREP1" xfId="15" xr:uid="{00000000-0005-0000-0000-00000E000000}"/>
    <cellStyle name="Valuta [0]_GRAF A-V vs FOREC" xfId="16" xr:uid="{00000000-0005-0000-0000-00000F000000}"/>
    <cellStyle name="Valuta_Depspec" xfId="17" xr:uid="{00000000-0005-0000-0000-000010000000}"/>
    <cellStyle name="Vírgula" xfId="1" builtinId="3"/>
  </cellStyles>
  <dxfs count="2"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'Empilhadeiras Elétricas'!#REF!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DB-4735-BAC3-DCF5B324AC7B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'Empilhadeiras Elétricas'!#REF!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'Empilhadeiras Elétricas'!#REF!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8DB-4735-BAC3-DCF5B324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733039"/>
        <c:axId val="1"/>
      </c:lineChart>
      <c:catAx>
        <c:axId val="1009733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97330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6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Accumulated DCF</a:t>
            </a:r>
          </a:p>
        </c:rich>
      </c:tx>
      <c:layout>
        <c:manualLayout>
          <c:xMode val="edge"/>
          <c:yMode val="edge"/>
          <c:x val="0.43842699229276583"/>
          <c:y val="3.4667829032028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108935977609722"/>
          <c:y val="0.16533887692198013"/>
          <c:w val="0.86119587771793282"/>
          <c:h val="0.59468660570325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'Empilhadeiras Elétricas'!$C$43</c:f>
              <c:strCache>
                <c:ptCount val="1"/>
                <c:pt idx="0">
                  <c:v>Nominal Cash 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'Empilhadeiras Elétricas'!$D$35:$K$35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'Empilhadeiras Elétricas'!$D$43:$K$43</c:f>
              <c:numCache>
                <c:formatCode>#,##0_);\(#,##0\)</c:formatCode>
                <c:ptCount val="8"/>
                <c:pt idx="0">
                  <c:v>-133460</c:v>
                </c:pt>
                <c:pt idx="1">
                  <c:v>58600</c:v>
                </c:pt>
                <c:pt idx="2">
                  <c:v>58600</c:v>
                </c:pt>
                <c:pt idx="3">
                  <c:v>58600</c:v>
                </c:pt>
                <c:pt idx="4">
                  <c:v>60780</c:v>
                </c:pt>
                <c:pt idx="5">
                  <c:v>33119</c:v>
                </c:pt>
                <c:pt idx="6">
                  <c:v>66624.95</c:v>
                </c:pt>
                <c:pt idx="7">
                  <c:v>70306.197499999995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6-4096-A720-987FA74E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057551"/>
        <c:axId val="1"/>
      </c:barChart>
      <c:lineChart>
        <c:grouping val="standard"/>
        <c:varyColors val="0"/>
        <c:ser>
          <c:idx val="1"/>
          <c:order val="1"/>
          <c:tx>
            <c:strRef>
              <c:f>'Empilhadeiras Elétricas'!$C$48</c:f>
              <c:strCache>
                <c:ptCount val="1"/>
                <c:pt idx="0">
                  <c:v>Accumulated DCF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'Empilhadeiras Elétricas'!$D$35:$K$35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'Empilhadeiras Elétricas'!$D$48:$K$48</c:f>
              <c:numCache>
                <c:formatCode>_(* #,##0_);_(* \(#,##0\);_(* "-"??_);_(@_)</c:formatCode>
                <c:ptCount val="8"/>
                <c:pt idx="0">
                  <c:v>-133460</c:v>
                </c:pt>
                <c:pt idx="1">
                  <c:v>-80667.207207207219</c:v>
                </c:pt>
                <c:pt idx="2">
                  <c:v>-27874.41441441443</c:v>
                </c:pt>
                <c:pt idx="3">
                  <c:v>24918.378378378358</c:v>
                </c:pt>
                <c:pt idx="4">
                  <c:v>79675.135135135119</c:v>
                </c:pt>
                <c:pt idx="5">
                  <c:v>109512.07207207206</c:v>
                </c:pt>
                <c:pt idx="6">
                  <c:v>169534.54954954953</c:v>
                </c:pt>
                <c:pt idx="7">
                  <c:v>232873.46621621618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6-4096-A720-987FA74E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57551"/>
        <c:axId val="1"/>
      </c:lineChart>
      <c:catAx>
        <c:axId val="10120575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years</a:t>
                </a:r>
              </a:p>
            </c:rich>
          </c:tx>
          <c:layout>
            <c:manualLayout>
              <c:xMode val="edge"/>
              <c:yMode val="edge"/>
              <c:x val="0.52611239075131899"/>
              <c:y val="0.78935979949848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BRL</a:t>
                </a:r>
              </a:p>
            </c:rich>
          </c:tx>
          <c:layout>
            <c:manualLayout>
              <c:xMode val="edge"/>
              <c:yMode val="edge"/>
              <c:x val="3.1316213735197558E-2"/>
              <c:y val="0.42934772878127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2057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pic>
      <xdr:nvPicPr>
        <xdr:cNvPr id="75777" name="Picture 1">
          <a:extLst>
            <a:ext uri="{FF2B5EF4-FFF2-40B4-BE49-F238E27FC236}">
              <a16:creationId xmlns:a16="http://schemas.microsoft.com/office/drawing/2014/main" id="{7A93B792-A715-0FD7-AE21-7C14769A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181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0</xdr:rowOff>
    </xdr:to>
    <xdr:graphicFrame macro="">
      <xdr:nvGraphicFramePr>
        <xdr:cNvPr id="75779" name="Gráfico 3">
          <a:extLst>
            <a:ext uri="{FF2B5EF4-FFF2-40B4-BE49-F238E27FC236}">
              <a16:creationId xmlns:a16="http://schemas.microsoft.com/office/drawing/2014/main" id="{C01B877B-0057-897A-B8EC-352019BEB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</xdr:row>
      <xdr:rowOff>123825</xdr:rowOff>
    </xdr:from>
    <xdr:to>
      <xdr:col>10</xdr:col>
      <xdr:colOff>904875</xdr:colOff>
      <xdr:row>25</xdr:row>
      <xdr:rowOff>152400</xdr:rowOff>
    </xdr:to>
    <xdr:sp macro="" textlink="">
      <xdr:nvSpPr>
        <xdr:cNvPr id="75780" name="Text Box 4">
          <a:extLst>
            <a:ext uri="{FF2B5EF4-FFF2-40B4-BE49-F238E27FC236}">
              <a16:creationId xmlns:a16="http://schemas.microsoft.com/office/drawing/2014/main" id="{37C9FAFC-D13C-88F8-0A9B-853832F598B9}"/>
            </a:ext>
          </a:extLst>
        </xdr:cNvPr>
        <xdr:cNvSpPr txBox="1">
          <a:spLocks noChangeArrowheads="1"/>
        </xdr:cNvSpPr>
      </xdr:nvSpPr>
      <xdr:spPr bwMode="auto">
        <a:xfrm>
          <a:off x="304800" y="3105150"/>
          <a:ext cx="9277350" cy="3267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Empilhadeiras elétricas: avaliar melhor alternativa entre realizar contrato de aluguel com fornecedor externo ou investir na aquisição de um novo equipamento.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Alternativa 1: Aluguel    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Marca: Toyota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do aluguel (mês): R$ 5.300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Contrato mínimo de 1 ano e 6 meses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Manutenção por conta do fornecedor, com exceção a situações de uso incorreto do equipamento.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Alternativa 2: Investimento 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Marca: Toyota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Empilhadeira: US$ 54.700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Bateria (2 unid.): R$ 30.000, com reposição no 5º ano (R$ 30.000)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Carregador: R$ 5.000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Garantia: 6 meses ou 1.000 horas de uso     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Custo estimado de manutenção: R$ 5.000 nos 3 primeiros anos, R$ 6.000 no 4º ano e R$ 7.000 do 5º ao 7º ano  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64</xdr:row>
      <xdr:rowOff>0</xdr:rowOff>
    </xdr:from>
    <xdr:to>
      <xdr:col>10</xdr:col>
      <xdr:colOff>838200</xdr:colOff>
      <xdr:row>84</xdr:row>
      <xdr:rowOff>142875</xdr:rowOff>
    </xdr:to>
    <xdr:graphicFrame macro="">
      <xdr:nvGraphicFramePr>
        <xdr:cNvPr id="75782" name="Gráfico 6">
          <a:extLst>
            <a:ext uri="{FF2B5EF4-FFF2-40B4-BE49-F238E27FC236}">
              <a16:creationId xmlns:a16="http://schemas.microsoft.com/office/drawing/2014/main" id="{E4BE1A68-8F97-6AA0-2927-75EF726C1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</xdr:colOff>
      <xdr:row>96</xdr:row>
      <xdr:rowOff>76200</xdr:rowOff>
    </xdr:from>
    <xdr:to>
      <xdr:col>11</xdr:col>
      <xdr:colOff>28575</xdr:colOff>
      <xdr:row>101</xdr:row>
      <xdr:rowOff>123825</xdr:rowOff>
    </xdr:to>
    <xdr:sp macro="" textlink="">
      <xdr:nvSpPr>
        <xdr:cNvPr id="75786" name="Text Box 10">
          <a:extLst>
            <a:ext uri="{FF2B5EF4-FFF2-40B4-BE49-F238E27FC236}">
              <a16:creationId xmlns:a16="http://schemas.microsoft.com/office/drawing/2014/main" id="{5681A525-6E28-FD62-2786-A8349BB64383}"/>
            </a:ext>
          </a:extLst>
        </xdr:cNvPr>
        <xdr:cNvSpPr txBox="1">
          <a:spLocks noChangeArrowheads="1"/>
        </xdr:cNvSpPr>
      </xdr:nvSpPr>
      <xdr:spPr bwMode="auto">
        <a:xfrm>
          <a:off x="342900" y="17021175"/>
          <a:ext cx="9277350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os 3 primeiros anos (contrato obrigatório) foi utilizado o valor fixo de aluguel de R$ 5300 / mês, o que perfaz um total de R$ 63.600 / ano.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os demais anos (5º ao 7º), foi utilizado 5% de reajuste anual.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47625</xdr:colOff>
      <xdr:row>104</xdr:row>
      <xdr:rowOff>76200</xdr:rowOff>
    </xdr:from>
    <xdr:to>
      <xdr:col>11</xdr:col>
      <xdr:colOff>28575</xdr:colOff>
      <xdr:row>109</xdr:row>
      <xdr:rowOff>9525</xdr:rowOff>
    </xdr:to>
    <xdr:sp macro="" textlink="">
      <xdr:nvSpPr>
        <xdr:cNvPr id="75788" name="Text Box 12">
          <a:extLst>
            <a:ext uri="{FF2B5EF4-FFF2-40B4-BE49-F238E27FC236}">
              <a16:creationId xmlns:a16="http://schemas.microsoft.com/office/drawing/2014/main" id="{79D7B64D-D6D0-C283-78CF-283250A4E8AD}"/>
            </a:ext>
          </a:extLst>
        </xdr:cNvPr>
        <xdr:cNvSpPr txBox="1">
          <a:spLocks noChangeArrowheads="1"/>
        </xdr:cNvSpPr>
      </xdr:nvSpPr>
      <xdr:spPr bwMode="auto">
        <a:xfrm>
          <a:off x="342900" y="18392775"/>
          <a:ext cx="92773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Não foram considerados custos com manutenção, visto que a mesma, em condições normais de utilização do produto, ocorre por conta do forncedor.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showGridLines="0" tabSelected="1" topLeftCell="A17" zoomScale="80" zoomScaleNormal="80" workbookViewId="0">
      <selection activeCell="A2" sqref="A2:XFD4"/>
    </sheetView>
  </sheetViews>
  <sheetFormatPr defaultRowHeight="12.75"/>
  <cols>
    <col min="1" max="1" width="1.7109375" customWidth="1"/>
    <col min="2" max="2" width="2.7109375" customWidth="1"/>
    <col min="3" max="3" width="27.5703125" customWidth="1"/>
    <col min="4" max="4" width="16.140625" customWidth="1"/>
    <col min="5" max="5" width="15.7109375" customWidth="1"/>
    <col min="6" max="7" width="13.7109375" customWidth="1"/>
    <col min="8" max="8" width="12.5703125" customWidth="1"/>
    <col min="9" max="9" width="13.7109375" customWidth="1"/>
    <col min="10" max="10" width="12.5703125" customWidth="1"/>
    <col min="11" max="11" width="13.7109375" customWidth="1"/>
    <col min="12" max="12" width="2.7109375" customWidth="1"/>
    <col min="13" max="13" width="1.7109375" customWidth="1"/>
    <col min="14" max="24" width="9.140625" hidden="1" customWidth="1"/>
    <col min="26" max="26" width="10.5703125" bestFit="1" customWidth="1"/>
  </cols>
  <sheetData>
    <row r="1" spans="2:12" ht="18.75" customHeight="1">
      <c r="B1" s="138" t="s">
        <v>42</v>
      </c>
      <c r="C1" s="138"/>
      <c r="D1" s="138"/>
      <c r="E1" s="138"/>
      <c r="F1" s="138"/>
      <c r="G1" s="138"/>
      <c r="H1" s="138"/>
      <c r="I1" s="138"/>
      <c r="J1" s="138"/>
      <c r="K1" s="138"/>
      <c r="L1" s="87"/>
    </row>
    <row r="2" spans="2:12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>
      <c r="B3" s="6"/>
      <c r="L3" s="7"/>
    </row>
    <row r="4" spans="2:12" ht="18.75">
      <c r="B4" s="6"/>
      <c r="C4" s="88" t="s">
        <v>0</v>
      </c>
      <c r="D4" s="1"/>
      <c r="E4" s="1"/>
      <c r="F4" s="1"/>
      <c r="G4" s="1"/>
      <c r="H4" s="1"/>
      <c r="I4" s="1"/>
      <c r="J4" s="1"/>
      <c r="K4" s="1"/>
      <c r="L4" s="7"/>
    </row>
    <row r="5" spans="2:12" ht="18.75">
      <c r="B5" s="6"/>
      <c r="C5" s="89"/>
      <c r="L5" s="7"/>
    </row>
    <row r="6" spans="2:12">
      <c r="B6" s="6"/>
      <c r="C6" s="2"/>
      <c r="L6" s="7"/>
    </row>
    <row r="7" spans="2:12">
      <c r="B7" s="6"/>
      <c r="L7" s="7"/>
    </row>
    <row r="8" spans="2:12">
      <c r="B8" s="6"/>
      <c r="L8" s="7"/>
    </row>
    <row r="9" spans="2:12">
      <c r="B9" s="6"/>
      <c r="L9" s="7"/>
    </row>
    <row r="10" spans="2:12">
      <c r="B10" s="6"/>
      <c r="L10" s="7"/>
    </row>
    <row r="11" spans="2:12">
      <c r="B11" s="6"/>
      <c r="L11" s="7"/>
    </row>
    <row r="12" spans="2:12">
      <c r="B12" s="6"/>
      <c r="L12" s="7"/>
    </row>
    <row r="13" spans="2:12">
      <c r="B13" s="6"/>
      <c r="L13" s="7"/>
    </row>
    <row r="14" spans="2:12">
      <c r="B14" s="6"/>
      <c r="L14" s="7"/>
    </row>
    <row r="15" spans="2:12">
      <c r="B15" s="6"/>
      <c r="L15" s="7"/>
    </row>
    <row r="16" spans="2:12">
      <c r="B16" s="6"/>
      <c r="L16" s="7"/>
    </row>
    <row r="17" spans="2:12">
      <c r="B17" s="6"/>
      <c r="L17" s="7"/>
    </row>
    <row r="18" spans="2:12">
      <c r="B18" s="6"/>
      <c r="L18" s="7"/>
    </row>
    <row r="19" spans="2:12">
      <c r="B19" s="6"/>
      <c r="L19" s="7"/>
    </row>
    <row r="20" spans="2:12">
      <c r="B20" s="6"/>
      <c r="L20" s="7"/>
    </row>
    <row r="21" spans="2:12">
      <c r="B21" s="6"/>
      <c r="L21" s="7"/>
    </row>
    <row r="22" spans="2:12">
      <c r="B22" s="6"/>
      <c r="L22" s="7"/>
    </row>
    <row r="23" spans="2:12">
      <c r="B23" s="6"/>
      <c r="L23" s="7"/>
    </row>
    <row r="24" spans="2:12">
      <c r="B24" s="6"/>
      <c r="L24" s="7"/>
    </row>
    <row r="25" spans="2:12">
      <c r="B25" s="6"/>
      <c r="L25" s="7"/>
    </row>
    <row r="26" spans="2:12">
      <c r="B26" s="6"/>
      <c r="L26" s="7"/>
    </row>
    <row r="27" spans="2:12">
      <c r="B27" s="8"/>
      <c r="C27" s="1"/>
      <c r="D27" s="1"/>
      <c r="E27" s="1"/>
      <c r="F27" s="1"/>
      <c r="G27" s="1"/>
      <c r="H27" s="1"/>
      <c r="I27" s="1"/>
      <c r="J27" s="1"/>
      <c r="K27" s="1"/>
      <c r="L27" s="9"/>
    </row>
    <row r="30" spans="2:12"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15">
      <c r="B31" s="6"/>
      <c r="C31" s="90" t="s">
        <v>44</v>
      </c>
      <c r="D31" s="19"/>
      <c r="E31" s="19"/>
      <c r="F31" s="19"/>
      <c r="G31" s="19"/>
      <c r="H31" s="19"/>
      <c r="I31" s="19"/>
      <c r="J31" s="19"/>
      <c r="K31" s="19"/>
      <c r="L31" s="7"/>
    </row>
    <row r="32" spans="2:12">
      <c r="B32" s="6"/>
      <c r="C32" s="2"/>
      <c r="D32" s="10"/>
      <c r="E32" s="10"/>
      <c r="F32" s="10"/>
      <c r="G32" s="10"/>
      <c r="H32" s="10"/>
      <c r="I32" s="10"/>
      <c r="J32" s="10"/>
      <c r="K32" s="10"/>
      <c r="L32" s="7"/>
    </row>
    <row r="33" spans="1:30" ht="15">
      <c r="B33" s="6"/>
      <c r="C33" s="91" t="s">
        <v>20</v>
      </c>
      <c r="D33" s="12"/>
      <c r="E33" s="13"/>
      <c r="F33" s="12"/>
      <c r="G33" s="12"/>
      <c r="H33" s="12"/>
      <c r="I33" s="12"/>
      <c r="J33" s="12"/>
      <c r="K33" s="12"/>
      <c r="L33" s="7"/>
    </row>
    <row r="34" spans="1:30" ht="5.25" customHeight="1">
      <c r="B34" s="6"/>
      <c r="C34" s="14"/>
      <c r="D34" s="10"/>
      <c r="E34" s="11"/>
      <c r="F34" s="10"/>
      <c r="G34" s="10"/>
      <c r="H34" s="10"/>
      <c r="I34" s="10"/>
      <c r="J34" s="10"/>
      <c r="K34" s="10"/>
      <c r="L34" s="7"/>
    </row>
    <row r="35" spans="1:30" s="29" customFormat="1" ht="13.5" customHeight="1">
      <c r="A35" s="41"/>
      <c r="B35" s="51"/>
      <c r="C35" s="53" t="s">
        <v>9</v>
      </c>
      <c r="D35" s="54">
        <v>0</v>
      </c>
      <c r="E35" s="54">
        <v>1</v>
      </c>
      <c r="F35" s="54">
        <v>2</v>
      </c>
      <c r="G35" s="54">
        <v>3</v>
      </c>
      <c r="H35" s="54">
        <v>4</v>
      </c>
      <c r="I35" s="54">
        <v>5</v>
      </c>
      <c r="J35" s="54">
        <v>6</v>
      </c>
      <c r="K35" s="54">
        <v>7</v>
      </c>
      <c r="L35" s="55"/>
      <c r="M35" s="42"/>
      <c r="Z35" s="31"/>
      <c r="AA35" s="31"/>
      <c r="AB35" s="31"/>
      <c r="AC35" s="32"/>
      <c r="AD35" s="32"/>
    </row>
    <row r="36" spans="1:30" s="29" customFormat="1" ht="13.5" customHeight="1">
      <c r="A36" s="41"/>
      <c r="B36" s="51"/>
      <c r="C36" s="43"/>
      <c r="D36" s="41"/>
      <c r="E36" s="41"/>
      <c r="F36" s="41"/>
      <c r="G36" s="41"/>
      <c r="H36" s="41"/>
      <c r="I36" s="41"/>
      <c r="J36" s="41"/>
      <c r="K36" s="41"/>
      <c r="L36" s="55"/>
      <c r="Z36" s="31"/>
      <c r="AA36" s="33"/>
      <c r="AB36" s="34"/>
      <c r="AC36" s="34"/>
      <c r="AD36" s="34"/>
    </row>
    <row r="37" spans="1:30" s="29" customFormat="1" ht="13.5" customHeight="1">
      <c r="A37" s="41"/>
      <c r="B37" s="51"/>
      <c r="C37" s="125" t="s">
        <v>12</v>
      </c>
      <c r="D37" s="126">
        <f>-K120</f>
        <v>-133460</v>
      </c>
      <c r="E37" s="126"/>
      <c r="F37" s="126"/>
      <c r="G37" s="126"/>
      <c r="H37" s="126"/>
      <c r="I37" s="126">
        <f>-K117</f>
        <v>-30000</v>
      </c>
      <c r="J37" s="126"/>
      <c r="K37" s="126"/>
      <c r="L37" s="55"/>
      <c r="Z37" s="34"/>
      <c r="AA37" s="33"/>
      <c r="AB37" s="35"/>
      <c r="AC37" s="36"/>
      <c r="AD37" s="37"/>
    </row>
    <row r="38" spans="1:30" s="29" customFormat="1" ht="13.5" customHeight="1">
      <c r="A38" s="41"/>
      <c r="B38" s="51"/>
      <c r="C38" s="125" t="s">
        <v>26</v>
      </c>
      <c r="D38" s="126"/>
      <c r="E38" s="126">
        <v>-5000</v>
      </c>
      <c r="F38" s="126">
        <v>-5000</v>
      </c>
      <c r="G38" s="126">
        <v>-5000</v>
      </c>
      <c r="H38" s="126">
        <v>-6000</v>
      </c>
      <c r="I38" s="126">
        <v>-7000</v>
      </c>
      <c r="J38" s="126">
        <v>-7000</v>
      </c>
      <c r="K38" s="126">
        <v>-7000</v>
      </c>
      <c r="L38" s="55"/>
      <c r="Z38" s="34"/>
      <c r="AA38" s="33"/>
      <c r="AB38" s="35"/>
      <c r="AC38" s="36"/>
      <c r="AD38" s="37"/>
    </row>
    <row r="39" spans="1:30" s="29" customFormat="1" ht="13.5" hidden="1" customHeight="1">
      <c r="A39" s="41"/>
      <c r="B39" s="51"/>
      <c r="C39" s="125"/>
      <c r="D39" s="126"/>
      <c r="E39" s="126">
        <f>E38</f>
        <v>-5000</v>
      </c>
      <c r="F39" s="126">
        <f>F38</f>
        <v>-5000</v>
      </c>
      <c r="G39" s="126">
        <f>G38</f>
        <v>-5000</v>
      </c>
      <c r="H39" s="126">
        <f>H38</f>
        <v>-6000</v>
      </c>
      <c r="I39" s="126">
        <f>I37+I38</f>
        <v>-37000</v>
      </c>
      <c r="J39" s="126">
        <f>J37+J38</f>
        <v>-7000</v>
      </c>
      <c r="K39" s="126">
        <f>K37+K38</f>
        <v>-7000</v>
      </c>
      <c r="L39" s="55"/>
      <c r="Z39" s="34"/>
      <c r="AA39" s="33"/>
      <c r="AB39" s="35"/>
      <c r="AC39" s="36"/>
      <c r="AD39" s="37"/>
    </row>
    <row r="40" spans="1:30" s="29" customFormat="1" ht="13.5" customHeight="1">
      <c r="A40" s="41"/>
      <c r="B40" s="51"/>
      <c r="C40" s="125" t="s">
        <v>27</v>
      </c>
      <c r="D40" s="126"/>
      <c r="E40" s="126">
        <v>63600</v>
      </c>
      <c r="F40" s="126">
        <v>63600</v>
      </c>
      <c r="G40" s="126">
        <v>63600</v>
      </c>
      <c r="H40" s="126">
        <f>G40*1.05</f>
        <v>66780</v>
      </c>
      <c r="I40" s="126">
        <f>H40*1.05</f>
        <v>70119</v>
      </c>
      <c r="J40" s="126">
        <f>I40*1.05</f>
        <v>73624.95</v>
      </c>
      <c r="K40" s="126">
        <f>J40*1.05</f>
        <v>77306.197499999995</v>
      </c>
      <c r="L40" s="56"/>
      <c r="Z40" s="34"/>
      <c r="AA40" s="33"/>
      <c r="AB40" s="35"/>
      <c r="AC40" s="36"/>
      <c r="AD40" s="37"/>
    </row>
    <row r="41" spans="1:30" s="29" customFormat="1" ht="13.5" hidden="1" customHeight="1">
      <c r="A41" s="41"/>
      <c r="B41" s="51"/>
      <c r="C41" s="125"/>
      <c r="D41" s="127"/>
      <c r="E41" s="127"/>
      <c r="F41" s="127"/>
      <c r="G41" s="127"/>
      <c r="H41" s="127"/>
      <c r="I41" s="127"/>
      <c r="J41" s="127"/>
      <c r="K41" s="127"/>
      <c r="L41" s="56"/>
      <c r="Z41" s="34"/>
      <c r="AA41" s="33"/>
      <c r="AB41" s="35"/>
      <c r="AC41" s="36"/>
      <c r="AD41" s="37"/>
    </row>
    <row r="42" spans="1:30" s="29" customFormat="1" ht="13.5" customHeight="1">
      <c r="A42" s="41"/>
      <c r="B42" s="51"/>
      <c r="C42" s="128"/>
      <c r="D42" s="127"/>
      <c r="E42" s="127"/>
      <c r="F42" s="127"/>
      <c r="G42" s="127"/>
      <c r="H42" s="127"/>
      <c r="I42" s="127"/>
      <c r="J42" s="127"/>
      <c r="K42" s="127"/>
      <c r="L42" s="56"/>
      <c r="Z42" s="34"/>
      <c r="AA42" s="33"/>
      <c r="AB42" s="35"/>
      <c r="AC42" s="36"/>
      <c r="AD42" s="37"/>
    </row>
    <row r="43" spans="1:30" s="29" customFormat="1" ht="13.5" customHeight="1" thickBot="1">
      <c r="A43" s="41"/>
      <c r="B43" s="51"/>
      <c r="C43" s="129" t="s">
        <v>41</v>
      </c>
      <c r="D43" s="130">
        <f>SUM(D37:D42)</f>
        <v>-133460</v>
      </c>
      <c r="E43" s="130">
        <f>SUM(E39:E42)</f>
        <v>58600</v>
      </c>
      <c r="F43" s="130">
        <f t="shared" ref="F43:K43" si="0">SUM(F39:F42)</f>
        <v>58600</v>
      </c>
      <c r="G43" s="130">
        <f t="shared" si="0"/>
        <v>58600</v>
      </c>
      <c r="H43" s="130">
        <f t="shared" si="0"/>
        <v>60780</v>
      </c>
      <c r="I43" s="130">
        <f t="shared" si="0"/>
        <v>33119</v>
      </c>
      <c r="J43" s="130">
        <f t="shared" si="0"/>
        <v>66624.95</v>
      </c>
      <c r="K43" s="130">
        <f t="shared" si="0"/>
        <v>70306.197499999995</v>
      </c>
      <c r="L43" s="56"/>
      <c r="Z43" s="34"/>
      <c r="AA43" s="33"/>
      <c r="AB43" s="35"/>
      <c r="AC43" s="36"/>
      <c r="AD43" s="37"/>
    </row>
    <row r="44" spans="1:30" s="29" customFormat="1" ht="13.5" customHeight="1" thickTop="1">
      <c r="A44" s="41"/>
      <c r="B44" s="51"/>
      <c r="C44" s="131"/>
      <c r="D44" s="132"/>
      <c r="E44" s="132"/>
      <c r="F44" s="132"/>
      <c r="G44" s="132"/>
      <c r="H44" s="132"/>
      <c r="I44" s="132"/>
      <c r="J44" s="132"/>
      <c r="K44" s="132"/>
      <c r="L44" s="56"/>
      <c r="Z44" s="34"/>
      <c r="AA44" s="33"/>
      <c r="AB44" s="35"/>
      <c r="AC44" s="36"/>
      <c r="AD44" s="37"/>
    </row>
    <row r="45" spans="1:30" s="29" customFormat="1" ht="13.5" hidden="1" customHeight="1">
      <c r="A45" s="41"/>
      <c r="B45" s="51"/>
      <c r="C45" s="133" t="s">
        <v>45</v>
      </c>
      <c r="D45" s="134">
        <f t="shared" ref="D45:K45" si="1">+D43/((1+$D$8)^D35)</f>
        <v>-133460</v>
      </c>
      <c r="E45" s="134">
        <f t="shared" si="1"/>
        <v>58600</v>
      </c>
      <c r="F45" s="134">
        <f t="shared" si="1"/>
        <v>58600</v>
      </c>
      <c r="G45" s="134">
        <f t="shared" si="1"/>
        <v>58600</v>
      </c>
      <c r="H45" s="134">
        <f t="shared" si="1"/>
        <v>60780</v>
      </c>
      <c r="I45" s="134">
        <f t="shared" si="1"/>
        <v>33119</v>
      </c>
      <c r="J45" s="134">
        <f t="shared" si="1"/>
        <v>66624.95</v>
      </c>
      <c r="K45" s="134">
        <f t="shared" si="1"/>
        <v>70306.197499999995</v>
      </c>
      <c r="L45" s="57"/>
      <c r="M45" s="58"/>
      <c r="N45" s="58"/>
      <c r="W45" s="38"/>
    </row>
    <row r="46" spans="1:30" s="29" customFormat="1" ht="13.5" customHeight="1">
      <c r="A46" s="41"/>
      <c r="B46" s="51"/>
      <c r="C46" s="131" t="s">
        <v>13</v>
      </c>
      <c r="D46" s="135">
        <f>ROUND(D45,0)</f>
        <v>-133460</v>
      </c>
      <c r="E46" s="120">
        <f>NPV($D$55,E43)</f>
        <v>52792.792792792789</v>
      </c>
      <c r="F46" s="120">
        <f t="shared" ref="F46:K46" si="2">NPV($D$55,F43)</f>
        <v>52792.792792792789</v>
      </c>
      <c r="G46" s="120">
        <f t="shared" si="2"/>
        <v>52792.792792792789</v>
      </c>
      <c r="H46" s="120">
        <f t="shared" si="2"/>
        <v>54756.756756756753</v>
      </c>
      <c r="I46" s="120">
        <f t="shared" si="2"/>
        <v>29836.936936936934</v>
      </c>
      <c r="J46" s="120">
        <f t="shared" si="2"/>
        <v>60022.477477477471</v>
      </c>
      <c r="K46" s="120">
        <f t="shared" si="2"/>
        <v>63338.916666666657</v>
      </c>
      <c r="L46" s="56"/>
      <c r="M46" s="44"/>
      <c r="N46" s="44"/>
      <c r="O46" s="30"/>
      <c r="P46" s="30"/>
      <c r="Q46" s="30"/>
    </row>
    <row r="47" spans="1:30" s="29" customFormat="1" ht="13.5" hidden="1" customHeight="1">
      <c r="A47" s="41"/>
      <c r="B47" s="51"/>
      <c r="C47" s="133" t="s">
        <v>46</v>
      </c>
      <c r="D47" s="134">
        <f>D45</f>
        <v>-133460</v>
      </c>
      <c r="E47" s="134">
        <f t="shared" ref="E47:K48" si="3">E45+D47</f>
        <v>-74860</v>
      </c>
      <c r="F47" s="134">
        <f t="shared" si="3"/>
        <v>-16260</v>
      </c>
      <c r="G47" s="134">
        <f t="shared" si="3"/>
        <v>42340</v>
      </c>
      <c r="H47" s="134">
        <f t="shared" si="3"/>
        <v>103120</v>
      </c>
      <c r="I47" s="134">
        <f t="shared" si="3"/>
        <v>136239</v>
      </c>
      <c r="J47" s="134">
        <f t="shared" si="3"/>
        <v>202863.95</v>
      </c>
      <c r="K47" s="134">
        <f t="shared" si="3"/>
        <v>273170.14750000002</v>
      </c>
      <c r="L47" s="56"/>
      <c r="M47" s="58"/>
      <c r="N47" s="58"/>
    </row>
    <row r="48" spans="1:30" s="29" customFormat="1" ht="13.5" customHeight="1">
      <c r="A48" s="41"/>
      <c r="B48" s="51"/>
      <c r="C48" s="131" t="s">
        <v>14</v>
      </c>
      <c r="D48" s="136">
        <f>D46</f>
        <v>-133460</v>
      </c>
      <c r="E48" s="137">
        <f>E46+D48</f>
        <v>-80667.207207207219</v>
      </c>
      <c r="F48" s="137">
        <f t="shared" si="3"/>
        <v>-27874.41441441443</v>
      </c>
      <c r="G48" s="137">
        <f t="shared" si="3"/>
        <v>24918.378378378358</v>
      </c>
      <c r="H48" s="137">
        <f t="shared" si="3"/>
        <v>79675.135135135119</v>
      </c>
      <c r="I48" s="137">
        <f t="shared" si="3"/>
        <v>109512.07207207206</v>
      </c>
      <c r="J48" s="137">
        <f t="shared" si="3"/>
        <v>169534.54954954953</v>
      </c>
      <c r="K48" s="137">
        <f t="shared" si="3"/>
        <v>232873.46621621618</v>
      </c>
      <c r="L48" s="56"/>
      <c r="M48" s="58"/>
      <c r="N48" s="58"/>
    </row>
    <row r="49" spans="1:18">
      <c r="B49" s="6"/>
      <c r="C49" s="10"/>
      <c r="D49" s="10"/>
      <c r="E49" s="11"/>
      <c r="F49" s="10"/>
      <c r="G49" s="10"/>
      <c r="H49" s="10"/>
      <c r="I49" s="10"/>
      <c r="J49" s="10"/>
      <c r="K49" s="10"/>
      <c r="L49" s="7"/>
    </row>
    <row r="50" spans="1:18" ht="15">
      <c r="B50" s="6"/>
      <c r="C50" s="91" t="s">
        <v>21</v>
      </c>
      <c r="D50" s="12"/>
      <c r="E50" s="13"/>
      <c r="F50" s="12"/>
      <c r="G50" s="12"/>
      <c r="H50" s="12"/>
      <c r="I50" s="12"/>
      <c r="J50" s="12"/>
      <c r="K50" s="12"/>
      <c r="L50" s="7"/>
    </row>
    <row r="51" spans="1:18" ht="9" customHeight="1">
      <c r="B51" s="6"/>
      <c r="C51" s="14"/>
      <c r="D51" s="10"/>
      <c r="E51" s="11"/>
      <c r="F51" s="10"/>
      <c r="G51" s="10"/>
      <c r="H51" s="10"/>
      <c r="I51" s="10"/>
      <c r="J51" s="10"/>
      <c r="K51" s="10"/>
      <c r="L51" s="7"/>
    </row>
    <row r="52" spans="1:18" s="29" customFormat="1" ht="13.5" hidden="1" customHeight="1">
      <c r="A52" s="41"/>
      <c r="B52" s="51"/>
      <c r="C52" s="48" t="s">
        <v>19</v>
      </c>
      <c r="D52" s="49">
        <f>IRR(D43:K43)</f>
        <v>0.38910869613893273</v>
      </c>
      <c r="E52" s="59"/>
      <c r="F52" s="58"/>
      <c r="G52" s="59"/>
      <c r="H52" s="45" t="s">
        <v>15</v>
      </c>
      <c r="I52" s="46">
        <f>IF(OR(V70=0,V70=1),V70,(IF(OR(V71=1,V71=2),V71,(IF(OR(V72=2,V72=3),V72,(IF(OR(V73=3,V73=4),V73,(IF(OR(V74=4,V74=5),V74,(IF(OR(V75=5,V75=6),V75,(IF(OR(V76=6,V76=7),V76)))))))))))))</f>
        <v>2</v>
      </c>
      <c r="J52" s="47" t="s">
        <v>16</v>
      </c>
      <c r="K52" s="59"/>
      <c r="L52" s="55"/>
      <c r="M52" s="58"/>
      <c r="N52" s="60"/>
      <c r="O52" s="39"/>
      <c r="Q52" s="39"/>
      <c r="R52" s="39"/>
    </row>
    <row r="53" spans="1:18" s="29" customFormat="1" ht="13.5" hidden="1" customHeight="1">
      <c r="A53" s="41"/>
      <c r="B53" s="51"/>
      <c r="E53" s="59"/>
      <c r="F53" s="58"/>
      <c r="G53" s="59"/>
      <c r="H53" s="61"/>
      <c r="I53" s="46">
        <f>IF(OR(X70=0,X70=1,X70=2,X70=3,X70=4,X70=5,X70=6,X70=7,X70=8,X70=9,X70=10,X70=11),X70,(IF(OR(X71=0,X71=1,X71=2,X71=3,X71=4,X71=5,X71=6,X71=7,X71=8,X71=9,X71=10,X71=11),X71,(IF(OR(X72=0,X72=1,X72=2,X72=3,X72=4,X72=5,X72=6,X72=7,X72=8,X72=9,X72=10,X72=11),X72,(IF(OR(X73=0,X73=1,X73=2,X73=3,X73=4,X73=5,X73=6,X73=7,X73=8,X73=9,X73=10,X73=11),X73,(IF(OR(X74=0,X74=1,X74=2,X74=3,X74=4,X74=5,X74=6,X74=7,X74=8,X74=9,X74=10,X74=11), X74,(IF(OR(X75=0,X75=1,X75=2,X75=3,X75=4,X75=5,X75=6,X75=7,X75=8,X75=9,X75=10,X75=11),X75,(IF(OR(X76=0,X76=1,X76=2,X76=3,X76=4,X76=5,X76=6,X76=7,X76=8,X76=9,X76=10,X76=11),X76)))))))))))))</f>
        <v>6</v>
      </c>
      <c r="J53" s="47" t="s">
        <v>17</v>
      </c>
      <c r="K53" s="59"/>
      <c r="L53" s="55"/>
      <c r="M53" s="58"/>
      <c r="N53" s="60"/>
      <c r="O53" s="39"/>
      <c r="P53" s="39"/>
      <c r="Q53" s="39"/>
      <c r="R53" s="39"/>
    </row>
    <row r="54" spans="1:18" s="29" customFormat="1" ht="13.5" hidden="1" customHeight="1">
      <c r="A54" s="41"/>
      <c r="B54" s="51"/>
      <c r="E54" s="59"/>
      <c r="F54" s="58"/>
      <c r="G54" s="59"/>
      <c r="H54" s="61"/>
      <c r="I54" s="46"/>
      <c r="J54" s="47"/>
      <c r="K54" s="59"/>
      <c r="L54" s="55"/>
      <c r="M54" s="58"/>
      <c r="N54" s="60"/>
      <c r="O54" s="39"/>
      <c r="P54" s="39"/>
      <c r="Q54" s="39"/>
      <c r="R54" s="39"/>
    </row>
    <row r="55" spans="1:18" s="29" customFormat="1" ht="13.5" customHeight="1">
      <c r="A55" s="41"/>
      <c r="B55" s="51"/>
      <c r="C55" s="118" t="s">
        <v>40</v>
      </c>
      <c r="D55" s="119">
        <v>0.11</v>
      </c>
      <c r="E55" s="59"/>
      <c r="F55" s="58"/>
      <c r="G55" s="59"/>
      <c r="H55" s="61"/>
      <c r="I55" s="46"/>
      <c r="J55" s="47"/>
      <c r="K55" s="59"/>
      <c r="L55" s="55"/>
      <c r="M55" s="58"/>
      <c r="N55" s="60"/>
      <c r="O55" s="39"/>
      <c r="P55" s="39"/>
      <c r="Q55" s="39"/>
      <c r="R55" s="39"/>
    </row>
    <row r="56" spans="1:18" s="29" customFormat="1" ht="17.25" customHeight="1">
      <c r="A56" s="41"/>
      <c r="B56" s="51"/>
      <c r="C56" s="118" t="s">
        <v>37</v>
      </c>
      <c r="D56" s="120">
        <f>NPV($D$55,E40:K40)+D40</f>
        <v>317620.60909275681</v>
      </c>
      <c r="E56" s="59"/>
      <c r="F56" s="58"/>
      <c r="G56" s="59"/>
      <c r="H56" s="61"/>
      <c r="I56" s="46"/>
      <c r="J56" s="47"/>
      <c r="K56" s="59"/>
      <c r="L56" s="55"/>
      <c r="M56" s="58"/>
      <c r="N56" s="60"/>
      <c r="O56" s="39"/>
      <c r="P56" s="39"/>
      <c r="Q56" s="39"/>
      <c r="R56" s="39"/>
    </row>
    <row r="57" spans="1:18" s="29" customFormat="1" ht="15.75" customHeight="1">
      <c r="A57" s="41"/>
      <c r="B57" s="51"/>
      <c r="C57" s="118" t="s">
        <v>38</v>
      </c>
      <c r="D57" s="120">
        <f>(NPV($D$55,E39:K39)+D37)*-1</f>
        <v>178702.75328912336</v>
      </c>
      <c r="E57" s="59"/>
      <c r="F57" s="58"/>
      <c r="G57" s="59"/>
      <c r="H57" s="61"/>
      <c r="I57" s="46"/>
      <c r="J57" s="47"/>
      <c r="K57" s="59"/>
      <c r="L57" s="55"/>
      <c r="M57" s="58"/>
      <c r="N57" s="60"/>
      <c r="O57" s="39"/>
      <c r="P57" s="39"/>
      <c r="Q57" s="39"/>
      <c r="R57" s="39"/>
    </row>
    <row r="58" spans="1:18" s="29" customFormat="1" ht="13.5" customHeight="1">
      <c r="A58" s="41"/>
      <c r="B58" s="51"/>
      <c r="C58" s="118"/>
      <c r="D58" s="120"/>
      <c r="E58" s="59"/>
      <c r="F58" s="58"/>
      <c r="G58" s="59"/>
      <c r="H58" s="61"/>
      <c r="I58" s="46"/>
      <c r="J58" s="47"/>
      <c r="K58" s="59"/>
      <c r="L58" s="55"/>
      <c r="M58" s="58"/>
      <c r="N58" s="60"/>
      <c r="O58" s="39"/>
      <c r="P58" s="39"/>
      <c r="Q58" s="39"/>
      <c r="R58" s="39"/>
    </row>
    <row r="59" spans="1:18" s="29" customFormat="1" ht="13.5" customHeight="1">
      <c r="A59" s="41"/>
      <c r="B59" s="51"/>
      <c r="C59" s="118" t="s">
        <v>39</v>
      </c>
      <c r="D59" s="120">
        <f>NPV($D$55,E43:K43)+D43</f>
        <v>138917.85580363346</v>
      </c>
      <c r="E59" s="59"/>
      <c r="F59" s="58"/>
      <c r="G59" s="121"/>
      <c r="H59" s="122" t="s">
        <v>18</v>
      </c>
      <c r="I59" s="123">
        <f>ROUNDDOWN(((-D46)/E46),0)</f>
        <v>2</v>
      </c>
      <c r="J59" s="124" t="s">
        <v>16</v>
      </c>
      <c r="K59" s="59"/>
      <c r="L59" s="55"/>
      <c r="M59" s="58"/>
      <c r="N59" s="60"/>
      <c r="O59" s="39"/>
      <c r="P59" s="39"/>
      <c r="Q59" s="39"/>
      <c r="R59" s="39"/>
    </row>
    <row r="60" spans="1:18" s="29" customFormat="1" ht="13.5" customHeight="1">
      <c r="A60" s="41"/>
      <c r="B60" s="51"/>
      <c r="D60" s="86"/>
      <c r="E60" s="59"/>
      <c r="F60" s="58"/>
      <c r="G60" s="121"/>
      <c r="H60" s="122"/>
      <c r="I60" s="123">
        <f>ROUND((((-D46)/E46)-I59)/1*12,0)</f>
        <v>6</v>
      </c>
      <c r="J60" s="124" t="s">
        <v>17</v>
      </c>
      <c r="K60" s="59"/>
      <c r="L60" s="55"/>
      <c r="M60" s="58"/>
      <c r="N60" s="60"/>
      <c r="O60" s="39"/>
      <c r="P60" s="39"/>
      <c r="Q60" s="39"/>
      <c r="R60" s="39"/>
    </row>
    <row r="61" spans="1:18">
      <c r="B61" s="6"/>
      <c r="C61" s="10"/>
      <c r="D61" s="10"/>
      <c r="E61" s="11"/>
      <c r="F61" s="10"/>
      <c r="G61" s="10"/>
      <c r="H61" s="10"/>
      <c r="I61" s="10"/>
      <c r="J61" s="10"/>
      <c r="K61" s="10"/>
      <c r="L61" s="7"/>
    </row>
    <row r="62" spans="1:18" ht="15">
      <c r="B62" s="6"/>
      <c r="C62" s="91" t="s">
        <v>22</v>
      </c>
      <c r="D62" s="12"/>
      <c r="E62" s="13"/>
      <c r="F62" s="12"/>
      <c r="G62" s="12"/>
      <c r="H62" s="12"/>
      <c r="I62" s="12"/>
      <c r="J62" s="12"/>
      <c r="K62" s="12"/>
      <c r="L62" s="7"/>
    </row>
    <row r="63" spans="1:18" ht="5.25" customHeight="1">
      <c r="B63" s="6"/>
      <c r="C63" s="14"/>
      <c r="D63" s="10"/>
      <c r="E63" s="11"/>
      <c r="F63" s="10"/>
      <c r="G63" s="10"/>
      <c r="H63" s="10"/>
      <c r="I63" s="10"/>
      <c r="J63" s="10"/>
      <c r="K63" s="10"/>
      <c r="L63" s="7"/>
    </row>
    <row r="64" spans="1:18" s="29" customFormat="1" ht="13.5" customHeight="1">
      <c r="A64" s="41"/>
      <c r="B64" s="51"/>
      <c r="C64" s="48"/>
      <c r="D64" s="49"/>
      <c r="E64" s="59"/>
      <c r="F64" s="48"/>
      <c r="G64" s="59"/>
      <c r="H64" s="59"/>
      <c r="I64" s="50"/>
      <c r="J64" s="47"/>
      <c r="K64" s="59"/>
      <c r="L64" s="55"/>
      <c r="M64" s="58"/>
      <c r="N64" s="60"/>
      <c r="O64" s="39"/>
      <c r="P64" s="39"/>
      <c r="Q64" s="39"/>
      <c r="R64" s="39"/>
    </row>
    <row r="65" spans="1:24" ht="13.5" customHeight="1">
      <c r="A65" s="28"/>
      <c r="B65" s="52"/>
      <c r="L65" s="7"/>
    </row>
    <row r="66" spans="1:24" ht="13.5" customHeight="1">
      <c r="A66" s="28"/>
      <c r="B66" s="52"/>
      <c r="L66" s="7"/>
    </row>
    <row r="67" spans="1:24" ht="13.5" customHeight="1">
      <c r="A67" s="28"/>
      <c r="B67" s="52"/>
      <c r="L67" s="7"/>
      <c r="N67" s="63" t="s">
        <v>6</v>
      </c>
      <c r="O67" s="2"/>
      <c r="P67" s="62"/>
      <c r="Q67" s="64"/>
      <c r="R67" s="65" t="s">
        <v>7</v>
      </c>
      <c r="S67" s="66"/>
      <c r="T67" s="67" t="s">
        <v>8</v>
      </c>
      <c r="U67" s="2"/>
      <c r="V67" s="66"/>
      <c r="W67" s="68"/>
      <c r="X67" s="69" t="s">
        <v>7</v>
      </c>
    </row>
    <row r="68" spans="1:24" ht="13.5" customHeight="1">
      <c r="A68" s="28"/>
      <c r="B68" s="52"/>
      <c r="L68" s="7"/>
      <c r="N68" s="62"/>
      <c r="O68" s="62"/>
      <c r="P68" s="65" t="s">
        <v>10</v>
      </c>
      <c r="Q68" s="65" t="s">
        <v>7</v>
      </c>
      <c r="R68" s="65" t="s">
        <v>11</v>
      </c>
      <c r="S68" s="66"/>
      <c r="T68" s="66"/>
      <c r="U68" s="66"/>
      <c r="V68" s="70" t="s">
        <v>10</v>
      </c>
      <c r="W68" s="70" t="s">
        <v>7</v>
      </c>
      <c r="X68" s="69" t="s">
        <v>11</v>
      </c>
    </row>
    <row r="69" spans="1:24" ht="13.5" customHeight="1">
      <c r="A69" s="28"/>
      <c r="B69" s="52"/>
      <c r="L69" s="7"/>
      <c r="M69" s="82">
        <v>0</v>
      </c>
      <c r="N69" s="71">
        <f>D43</f>
        <v>-133460</v>
      </c>
      <c r="O69" s="62"/>
      <c r="P69" s="62"/>
      <c r="Q69" s="64"/>
      <c r="R69" s="65"/>
      <c r="S69" s="66">
        <v>0</v>
      </c>
      <c r="T69" s="72">
        <f>D46</f>
        <v>-133460</v>
      </c>
      <c r="U69" s="73"/>
      <c r="V69" s="66"/>
      <c r="W69" s="68"/>
      <c r="X69" s="69"/>
    </row>
    <row r="70" spans="1:24" ht="13.5" customHeight="1">
      <c r="A70" s="28"/>
      <c r="B70" s="52"/>
      <c r="L70" s="7"/>
      <c r="M70" s="82">
        <v>1</v>
      </c>
      <c r="N70" s="74">
        <f>E43</f>
        <v>58600</v>
      </c>
      <c r="O70" s="74">
        <f>N69+N70</f>
        <v>-74860</v>
      </c>
      <c r="P70" s="75" t="str">
        <f>IF(N69=0,"DONE",(IF(O70&gt;0,M69,(IF(O70=0,M70,(IF(O70&lt;0,"AFTER")))))))</f>
        <v>AFTER</v>
      </c>
      <c r="Q70" s="75" t="str">
        <f>IF(P70=M70,0,(IF(O70&lt;0,"AFTERR",(-N69/(N70/12)))))</f>
        <v>AFTERR</v>
      </c>
      <c r="R70" s="65" t="str">
        <f t="shared" ref="R70:R76" si="4">IF(OR(Q70="AFTERR",Q70="DONEE"),Q70,ROUNDDOWN(Q70,0))</f>
        <v>AFTERR</v>
      </c>
      <c r="S70" s="66">
        <v>1</v>
      </c>
      <c r="T70" s="76">
        <f>E46</f>
        <v>52792.792792792789</v>
      </c>
      <c r="U70" s="73">
        <f>T69+T70</f>
        <v>-80667.207207207219</v>
      </c>
      <c r="V70" s="70" t="str">
        <f>IF(T69=0,"DONE",(IF(U70&gt;0,S69,(IF(U70=0,S70,(IF(U70&lt;0,"AFTER")))))))</f>
        <v>AFTER</v>
      </c>
      <c r="W70" s="70" t="str">
        <f>IF(V70=S70,0,(IF(U70&lt;0,"AFTERR",(-T69/(T70/12)))))</f>
        <v>AFTERR</v>
      </c>
      <c r="X70" s="77" t="str">
        <f t="shared" ref="X70:X76" si="5">IF(OR(W70="AFTERR",W70="DONEE"),W70,ROUNDDOWN(W70,0))</f>
        <v>AFTERR</v>
      </c>
    </row>
    <row r="71" spans="1:24" ht="13.5" customHeight="1">
      <c r="A71" s="28"/>
      <c r="B71" s="52"/>
      <c r="L71" s="7"/>
      <c r="M71" s="82">
        <v>2</v>
      </c>
      <c r="N71" s="74">
        <f>F43</f>
        <v>58600</v>
      </c>
      <c r="O71" s="74">
        <f t="shared" ref="O71:O76" si="6">O70+N71</f>
        <v>-16260</v>
      </c>
      <c r="P71" s="75" t="str">
        <f t="shared" ref="P71:P76" si="7">IF(P70&lt;&gt;"AFTER","DONE",(IF(O71&lt;0,"AFTER",(IF(O71=0,M71,(IF(O71&gt;0,M70,"DONE")))))))</f>
        <v>AFTER</v>
      </c>
      <c r="Q71" s="75" t="str">
        <f t="shared" ref="Q71:Q76" si="8">IF(Q70&lt;&gt;"AFTERR","DONEE",(IF(P71=M71,0,(IF(O71&lt;0,"AFTERR",(-O70/(N71/12)))))))</f>
        <v>AFTERR</v>
      </c>
      <c r="R71" s="65" t="str">
        <f t="shared" si="4"/>
        <v>AFTERR</v>
      </c>
      <c r="S71" s="66">
        <v>2</v>
      </c>
      <c r="T71" s="76">
        <f>F46</f>
        <v>52792.792792792789</v>
      </c>
      <c r="U71" s="73">
        <f t="shared" ref="U71:U76" si="9">U70+T71</f>
        <v>-27874.41441441443</v>
      </c>
      <c r="V71" s="70" t="str">
        <f t="shared" ref="V71:V76" si="10">IF(V70&lt;&gt;"AFTER","DONE",(IF(U71&lt;0,"AFTER",(IF(U71=0,S71,(IF(U71&gt;0,S70,"DONE")))))))</f>
        <v>AFTER</v>
      </c>
      <c r="W71" s="70" t="str">
        <f t="shared" ref="W71:W76" si="11">IF(W70&lt;&gt;"AFTERR","DONEE",(IF(V71=S71,0,(IF(U71&lt;0,"AFTERR",(-U70/(T71/12)))))))</f>
        <v>AFTERR</v>
      </c>
      <c r="X71" s="77" t="str">
        <f t="shared" si="5"/>
        <v>AFTERR</v>
      </c>
    </row>
    <row r="72" spans="1:24" ht="13.5" customHeight="1">
      <c r="A72" s="28"/>
      <c r="B72" s="52"/>
      <c r="L72" s="7"/>
      <c r="M72" s="82">
        <v>3</v>
      </c>
      <c r="N72" s="74">
        <f>G43</f>
        <v>58600</v>
      </c>
      <c r="O72" s="74">
        <f t="shared" si="6"/>
        <v>42340</v>
      </c>
      <c r="P72" s="75">
        <f t="shared" si="7"/>
        <v>2</v>
      </c>
      <c r="Q72" s="75">
        <f t="shared" si="8"/>
        <v>3.3296928327645055</v>
      </c>
      <c r="R72" s="65">
        <f t="shared" si="4"/>
        <v>3</v>
      </c>
      <c r="S72" s="66">
        <v>3</v>
      </c>
      <c r="T72" s="76">
        <f>G46</f>
        <v>52792.792792792789</v>
      </c>
      <c r="U72" s="73">
        <f t="shared" si="9"/>
        <v>24918.378378378358</v>
      </c>
      <c r="V72" s="70">
        <f t="shared" si="10"/>
        <v>2</v>
      </c>
      <c r="W72" s="70">
        <f t="shared" si="11"/>
        <v>6.3359590443686047</v>
      </c>
      <c r="X72" s="77">
        <f t="shared" si="5"/>
        <v>6</v>
      </c>
    </row>
    <row r="73" spans="1:24" ht="13.5" customHeight="1">
      <c r="A73" s="28"/>
      <c r="B73" s="52"/>
      <c r="L73" s="7"/>
      <c r="M73" s="82"/>
      <c r="N73" s="74">
        <f>H43</f>
        <v>60780</v>
      </c>
      <c r="O73" s="74">
        <f t="shared" si="6"/>
        <v>103120</v>
      </c>
      <c r="P73" s="75" t="str">
        <f t="shared" si="7"/>
        <v>DONE</v>
      </c>
      <c r="Q73" s="75" t="str">
        <f t="shared" si="8"/>
        <v>DONEE</v>
      </c>
      <c r="R73" s="65" t="str">
        <f t="shared" si="4"/>
        <v>DONEE</v>
      </c>
      <c r="S73" s="66">
        <v>4</v>
      </c>
      <c r="T73" s="76">
        <f>H46</f>
        <v>54756.756756756753</v>
      </c>
      <c r="U73" s="73">
        <f t="shared" si="9"/>
        <v>79675.135135135119</v>
      </c>
      <c r="V73" s="70" t="str">
        <f t="shared" si="10"/>
        <v>DONE</v>
      </c>
      <c r="W73" s="70" t="str">
        <f t="shared" si="11"/>
        <v>DONEE</v>
      </c>
      <c r="X73" s="77" t="str">
        <f t="shared" si="5"/>
        <v>DONEE</v>
      </c>
    </row>
    <row r="74" spans="1:24" ht="13.5" customHeight="1">
      <c r="A74" s="28"/>
      <c r="B74" s="52"/>
      <c r="L74" s="7"/>
      <c r="M74" s="82">
        <v>5</v>
      </c>
      <c r="N74" s="74">
        <f>I43</f>
        <v>33119</v>
      </c>
      <c r="O74" s="74">
        <f t="shared" si="6"/>
        <v>136239</v>
      </c>
      <c r="P74" s="75" t="str">
        <f t="shared" si="7"/>
        <v>DONE</v>
      </c>
      <c r="Q74" s="75" t="str">
        <f t="shared" si="8"/>
        <v>DONEE</v>
      </c>
      <c r="R74" s="65" t="str">
        <f t="shared" si="4"/>
        <v>DONEE</v>
      </c>
      <c r="S74" s="66">
        <v>5</v>
      </c>
      <c r="T74" s="76">
        <f>I46</f>
        <v>29836.936936936934</v>
      </c>
      <c r="U74" s="73">
        <f t="shared" si="9"/>
        <v>109512.07207207206</v>
      </c>
      <c r="V74" s="70" t="str">
        <f t="shared" si="10"/>
        <v>DONE</v>
      </c>
      <c r="W74" s="70" t="str">
        <f t="shared" si="11"/>
        <v>DONEE</v>
      </c>
      <c r="X74" s="77" t="str">
        <f t="shared" si="5"/>
        <v>DONEE</v>
      </c>
    </row>
    <row r="75" spans="1:24" ht="13.5" customHeight="1">
      <c r="A75" s="28"/>
      <c r="B75" s="52"/>
      <c r="L75" s="7"/>
      <c r="M75" s="82">
        <v>6</v>
      </c>
      <c r="N75" s="74">
        <f>J43</f>
        <v>66624.95</v>
      </c>
      <c r="O75" s="74">
        <f t="shared" si="6"/>
        <v>202863.95</v>
      </c>
      <c r="P75" s="75" t="str">
        <f t="shared" si="7"/>
        <v>DONE</v>
      </c>
      <c r="Q75" s="75" t="str">
        <f t="shared" si="8"/>
        <v>DONEE</v>
      </c>
      <c r="R75" s="65" t="str">
        <f t="shared" si="4"/>
        <v>DONEE</v>
      </c>
      <c r="S75" s="66">
        <v>6</v>
      </c>
      <c r="T75" s="76">
        <f>J46</f>
        <v>60022.477477477471</v>
      </c>
      <c r="U75" s="73">
        <f t="shared" si="9"/>
        <v>169534.54954954953</v>
      </c>
      <c r="V75" s="70" t="str">
        <f t="shared" si="10"/>
        <v>DONE</v>
      </c>
      <c r="W75" s="78" t="str">
        <f t="shared" si="11"/>
        <v>DONEE</v>
      </c>
      <c r="X75" s="77" t="str">
        <f t="shared" si="5"/>
        <v>DONEE</v>
      </c>
    </row>
    <row r="76" spans="1:24" ht="13.5" customHeight="1">
      <c r="A76" s="28"/>
      <c r="B76" s="52"/>
      <c r="L76" s="7"/>
      <c r="M76" s="82">
        <v>7</v>
      </c>
      <c r="N76" s="74">
        <f>K43</f>
        <v>70306.197499999995</v>
      </c>
      <c r="O76" s="74">
        <f t="shared" si="6"/>
        <v>273170.14750000002</v>
      </c>
      <c r="P76" s="75" t="str">
        <f t="shared" si="7"/>
        <v>DONE</v>
      </c>
      <c r="Q76" s="75" t="str">
        <f t="shared" si="8"/>
        <v>DONEE</v>
      </c>
      <c r="R76" s="65" t="str">
        <f t="shared" si="4"/>
        <v>DONEE</v>
      </c>
      <c r="S76" s="66">
        <v>7</v>
      </c>
      <c r="T76" s="76">
        <f>K46</f>
        <v>63338.916666666657</v>
      </c>
      <c r="U76" s="73">
        <f t="shared" si="9"/>
        <v>232873.46621621618</v>
      </c>
      <c r="V76" s="70" t="str">
        <f t="shared" si="10"/>
        <v>DONE</v>
      </c>
      <c r="W76" s="78" t="str">
        <f t="shared" si="11"/>
        <v>DONEE</v>
      </c>
      <c r="X76" s="77" t="str">
        <f t="shared" si="5"/>
        <v>DONEE</v>
      </c>
    </row>
    <row r="77" spans="1:24" ht="13.5" customHeight="1">
      <c r="A77" s="28"/>
      <c r="B77" s="52"/>
      <c r="L77" s="7"/>
    </row>
    <row r="78" spans="1:24" ht="13.5" customHeight="1">
      <c r="A78" s="28"/>
      <c r="B78" s="52"/>
      <c r="L78" s="7"/>
    </row>
    <row r="79" spans="1:24" ht="13.5" customHeight="1">
      <c r="A79" s="28"/>
      <c r="B79" s="52"/>
      <c r="L79" s="7"/>
    </row>
    <row r="80" spans="1:24" ht="13.5" customHeight="1">
      <c r="A80" s="28"/>
      <c r="B80" s="52"/>
      <c r="L80" s="7"/>
    </row>
    <row r="81" spans="1:12" ht="13.5" customHeight="1">
      <c r="A81" s="28"/>
      <c r="B81" s="52"/>
      <c r="L81" s="7"/>
    </row>
    <row r="82" spans="1:12" ht="13.5" customHeight="1">
      <c r="A82" s="28"/>
      <c r="B82" s="52"/>
      <c r="L82" s="7"/>
    </row>
    <row r="83" spans="1:12" ht="13.5" customHeight="1">
      <c r="A83" s="28"/>
      <c r="B83" s="52"/>
      <c r="L83" s="7"/>
    </row>
    <row r="84" spans="1:12" ht="13.5" customHeight="1">
      <c r="A84" s="28"/>
      <c r="B84" s="52"/>
      <c r="L84" s="7"/>
    </row>
    <row r="85" spans="1:12" ht="13.5" customHeight="1">
      <c r="A85" s="28"/>
      <c r="B85" s="52"/>
      <c r="L85" s="7"/>
    </row>
    <row r="86" spans="1:12" ht="13.5" customHeight="1">
      <c r="A86" s="28"/>
      <c r="B86" s="79"/>
      <c r="C86" s="1"/>
      <c r="D86" s="1"/>
      <c r="E86" s="1"/>
      <c r="F86" s="1"/>
      <c r="G86" s="1"/>
      <c r="H86" s="80"/>
      <c r="I86" s="80"/>
      <c r="J86" s="80"/>
      <c r="K86" s="80"/>
      <c r="L86" s="9"/>
    </row>
    <row r="87" spans="1:12" ht="13.5" customHeight="1">
      <c r="A87" s="28"/>
      <c r="B87" s="81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3.5" customHeight="1">
      <c r="A88" s="28"/>
      <c r="B88" s="28"/>
    </row>
    <row r="90" spans="1:12">
      <c r="B90" s="3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>
      <c r="B91" s="6"/>
      <c r="L91" s="7"/>
    </row>
    <row r="92" spans="1:12" ht="18.75">
      <c r="B92" s="6"/>
      <c r="C92" s="88" t="s">
        <v>43</v>
      </c>
      <c r="D92" s="19"/>
      <c r="E92" s="19"/>
      <c r="F92" s="19"/>
      <c r="G92" s="19"/>
      <c r="H92" s="19"/>
      <c r="I92" s="19"/>
      <c r="J92" s="19"/>
      <c r="K92" s="19"/>
      <c r="L92" s="7"/>
    </row>
    <row r="93" spans="1:12">
      <c r="B93" s="6"/>
      <c r="C93" s="2"/>
      <c r="D93" s="10"/>
      <c r="E93" s="10"/>
      <c r="F93" s="10"/>
      <c r="G93" s="10"/>
      <c r="H93" s="10"/>
      <c r="I93" s="10"/>
      <c r="J93" s="10"/>
      <c r="K93" s="10"/>
      <c r="L93" s="7"/>
    </row>
    <row r="94" spans="1:12">
      <c r="B94" s="6"/>
      <c r="C94" s="10"/>
      <c r="D94" s="10"/>
      <c r="E94" s="11"/>
      <c r="F94" s="10"/>
      <c r="G94" s="10"/>
      <c r="H94" s="10"/>
      <c r="I94" s="10"/>
      <c r="J94" s="10"/>
      <c r="K94" s="10"/>
      <c r="L94" s="7"/>
    </row>
    <row r="95" spans="1:12" ht="15.75">
      <c r="B95" s="6"/>
      <c r="C95" s="98" t="s">
        <v>28</v>
      </c>
      <c r="D95" s="12"/>
      <c r="E95" s="13"/>
      <c r="F95" s="12"/>
      <c r="G95" s="12"/>
      <c r="H95" s="12"/>
      <c r="I95" s="12"/>
      <c r="J95" s="12"/>
      <c r="K95" s="12"/>
      <c r="L95" s="7"/>
    </row>
    <row r="96" spans="1:12" ht="5.25" customHeight="1">
      <c r="B96" s="6"/>
      <c r="C96" s="14"/>
      <c r="D96" s="10"/>
      <c r="E96" s="11"/>
      <c r="F96" s="10"/>
      <c r="G96" s="10"/>
      <c r="H96" s="10"/>
      <c r="I96" s="10"/>
      <c r="J96" s="10"/>
      <c r="K96" s="10"/>
      <c r="L96" s="7"/>
    </row>
    <row r="97" spans="2:26" ht="12.75" customHeight="1">
      <c r="B97" s="6"/>
      <c r="C97" s="16"/>
      <c r="D97" s="10"/>
      <c r="E97" s="18"/>
      <c r="F97" s="21"/>
      <c r="G97" s="10"/>
      <c r="H97" s="10"/>
      <c r="I97" s="10"/>
      <c r="J97" s="10"/>
      <c r="K97" s="10"/>
      <c r="L97" s="7"/>
    </row>
    <row r="98" spans="2:26" ht="12.75" customHeight="1">
      <c r="B98" s="6"/>
      <c r="C98" s="22"/>
      <c r="D98" s="10"/>
      <c r="E98" s="22"/>
      <c r="F98" s="22"/>
      <c r="G98" s="22"/>
      <c r="H98" s="22"/>
      <c r="I98" s="83"/>
      <c r="J98" s="10"/>
      <c r="K98" s="10"/>
      <c r="L98" s="7"/>
      <c r="Y98" s="85"/>
      <c r="Z98" s="26"/>
    </row>
    <row r="99" spans="2:26" ht="12.75" customHeight="1">
      <c r="B99" s="6"/>
      <c r="C99" s="22"/>
      <c r="D99" s="10"/>
      <c r="E99" s="22"/>
      <c r="F99" s="22"/>
      <c r="G99" s="22"/>
      <c r="H99" s="22"/>
      <c r="I99" s="83"/>
      <c r="J99" s="10"/>
      <c r="K99" s="10"/>
      <c r="L99" s="7"/>
      <c r="Y99" s="85"/>
      <c r="Z99" s="26"/>
    </row>
    <row r="100" spans="2:26" ht="12.75" customHeight="1">
      <c r="B100" s="6"/>
      <c r="C100" s="22"/>
      <c r="D100" s="10"/>
      <c r="E100" s="22"/>
      <c r="F100" s="22"/>
      <c r="G100" s="22"/>
      <c r="H100" s="22"/>
      <c r="I100" s="83"/>
      <c r="J100" s="10"/>
      <c r="K100" s="10"/>
      <c r="L100" s="7"/>
      <c r="Y100" s="85"/>
      <c r="Z100" s="26"/>
    </row>
    <row r="101" spans="2:26" ht="12.75" customHeight="1">
      <c r="B101" s="6"/>
      <c r="C101" s="22"/>
      <c r="D101" s="10"/>
      <c r="E101" s="22"/>
      <c r="F101" s="22"/>
      <c r="G101" s="22"/>
      <c r="H101" s="22"/>
      <c r="I101" s="83"/>
      <c r="J101" s="10"/>
      <c r="K101" s="10"/>
      <c r="L101" s="7"/>
      <c r="Y101" s="85"/>
      <c r="Z101" s="26"/>
    </row>
    <row r="102" spans="2:26" ht="12.75" customHeight="1">
      <c r="B102" s="6"/>
      <c r="C102" s="16"/>
      <c r="D102" s="16"/>
      <c r="E102" s="16"/>
      <c r="F102" s="24"/>
      <c r="G102" s="24"/>
      <c r="H102" s="16"/>
      <c r="I102" s="23"/>
      <c r="J102" s="10"/>
      <c r="K102" s="10"/>
      <c r="L102" s="7"/>
      <c r="Y102" s="85"/>
      <c r="Z102" s="26"/>
    </row>
    <row r="103" spans="2:26" ht="15.95" customHeight="1">
      <c r="B103" s="6"/>
      <c r="C103" s="92" t="s">
        <v>34</v>
      </c>
      <c r="D103" s="93">
        <v>1</v>
      </c>
      <c r="E103" s="93">
        <v>2</v>
      </c>
      <c r="F103" s="93">
        <v>3</v>
      </c>
      <c r="G103" s="93">
        <v>4</v>
      </c>
      <c r="H103" s="93">
        <v>5</v>
      </c>
      <c r="I103" s="93">
        <v>6</v>
      </c>
      <c r="J103" s="94">
        <v>7</v>
      </c>
      <c r="K103" s="92" t="s">
        <v>36</v>
      </c>
      <c r="L103" s="7"/>
      <c r="Y103" s="85"/>
      <c r="Z103" s="26"/>
    </row>
    <row r="104" spans="2:26" ht="15.95" customHeight="1">
      <c r="B104" s="6"/>
      <c r="C104" s="92" t="s">
        <v>35</v>
      </c>
      <c r="D104" s="95">
        <v>63600</v>
      </c>
      <c r="E104" s="95">
        <v>63600</v>
      </c>
      <c r="F104" s="96">
        <v>63600</v>
      </c>
      <c r="G104" s="96">
        <v>66780</v>
      </c>
      <c r="H104" s="96">
        <v>70119</v>
      </c>
      <c r="I104" s="96">
        <v>73625</v>
      </c>
      <c r="J104" s="96">
        <v>77306</v>
      </c>
      <c r="K104" s="97">
        <f>SUM(D104:J104)</f>
        <v>478630</v>
      </c>
      <c r="L104" s="7"/>
      <c r="Y104" s="85"/>
      <c r="Z104" s="26"/>
    </row>
    <row r="105" spans="2:26" ht="13.5" customHeight="1">
      <c r="B105" s="6"/>
      <c r="F105" s="84"/>
      <c r="G105" s="84"/>
      <c r="H105" s="20"/>
      <c r="I105" s="23"/>
      <c r="J105" s="10"/>
      <c r="K105" s="10"/>
      <c r="L105" s="7"/>
      <c r="Y105" s="85"/>
      <c r="Z105" s="26"/>
    </row>
    <row r="106" spans="2:26">
      <c r="B106" s="6"/>
      <c r="C106" s="16"/>
      <c r="D106" s="16"/>
      <c r="E106" s="16"/>
      <c r="F106" s="16"/>
      <c r="G106" s="16"/>
      <c r="H106" s="16"/>
      <c r="I106" s="16"/>
      <c r="J106" s="24"/>
      <c r="K106" s="40"/>
      <c r="L106" s="7"/>
    </row>
    <row r="107" spans="2:26">
      <c r="B107" s="6"/>
      <c r="D107" s="16"/>
      <c r="E107" s="16"/>
      <c r="F107" s="16"/>
      <c r="G107" s="16"/>
      <c r="H107" s="16"/>
      <c r="I107" s="16"/>
      <c r="J107" s="24"/>
      <c r="K107" s="40"/>
      <c r="L107" s="7"/>
    </row>
    <row r="108" spans="2:26" ht="15">
      <c r="B108" s="6"/>
      <c r="C108" s="29"/>
      <c r="D108" s="16"/>
      <c r="E108" s="16"/>
      <c r="F108" s="16"/>
      <c r="G108" s="16"/>
      <c r="H108" s="16"/>
      <c r="I108" s="16"/>
      <c r="J108" s="24"/>
      <c r="K108" s="40"/>
      <c r="L108" s="7"/>
    </row>
    <row r="109" spans="2:26" ht="15">
      <c r="B109" s="6"/>
      <c r="C109" s="29"/>
      <c r="D109" s="16"/>
      <c r="E109" s="16"/>
      <c r="F109" s="16"/>
      <c r="G109" s="16"/>
      <c r="H109" s="16"/>
      <c r="I109" s="16"/>
      <c r="J109" s="24"/>
      <c r="K109" s="40"/>
      <c r="L109" s="7"/>
    </row>
    <row r="110" spans="2:26">
      <c r="B110" s="6"/>
      <c r="C110" s="16"/>
      <c r="D110" s="16"/>
      <c r="E110" s="16"/>
      <c r="F110" s="16"/>
      <c r="G110" s="16"/>
      <c r="H110" s="16"/>
      <c r="I110" s="16"/>
      <c r="J110" s="24"/>
      <c r="K110" s="40"/>
      <c r="L110" s="7"/>
    </row>
    <row r="111" spans="2:26" ht="15.75">
      <c r="B111" s="6"/>
      <c r="C111" s="98" t="s">
        <v>29</v>
      </c>
      <c r="D111" s="12"/>
      <c r="E111" s="13"/>
      <c r="F111" s="12"/>
      <c r="G111" s="12"/>
      <c r="H111" s="12"/>
      <c r="I111" s="12"/>
      <c r="J111" s="12"/>
      <c r="K111" s="12"/>
      <c r="L111" s="7"/>
    </row>
    <row r="112" spans="2:26">
      <c r="B112" s="6"/>
      <c r="C112" s="16"/>
      <c r="E112" s="16"/>
      <c r="F112" s="25"/>
      <c r="G112" s="25"/>
      <c r="H112" s="25"/>
      <c r="I112" s="25"/>
      <c r="J112" s="27"/>
      <c r="K112" s="40"/>
      <c r="L112" s="7"/>
    </row>
    <row r="113" spans="2:12" ht="14.25">
      <c r="B113" s="6"/>
      <c r="C113" s="99" t="s">
        <v>4</v>
      </c>
      <c r="E113" s="16"/>
      <c r="F113" s="25"/>
      <c r="G113" s="25"/>
      <c r="H113" s="25"/>
      <c r="I113" s="25"/>
      <c r="J113" s="27"/>
      <c r="K113" s="40"/>
      <c r="L113" s="7"/>
    </row>
    <row r="114" spans="2:12" ht="14.25">
      <c r="B114" s="6"/>
      <c r="C114" s="99"/>
      <c r="E114" s="16"/>
      <c r="F114" s="25"/>
      <c r="G114" s="25"/>
      <c r="H114" s="25"/>
      <c r="I114" s="25"/>
      <c r="J114" s="27"/>
      <c r="K114" s="40"/>
      <c r="L114" s="7"/>
    </row>
    <row r="115" spans="2:12" ht="14.25">
      <c r="B115" s="6"/>
      <c r="C115" s="100" t="s">
        <v>3</v>
      </c>
      <c r="D115" s="101"/>
      <c r="E115" s="101"/>
      <c r="F115" s="102"/>
      <c r="G115" s="102"/>
      <c r="H115" s="102"/>
      <c r="I115" s="102" t="s">
        <v>5</v>
      </c>
      <c r="J115" s="100" t="s">
        <v>1</v>
      </c>
      <c r="K115" s="103" t="s">
        <v>2</v>
      </c>
      <c r="L115" s="7"/>
    </row>
    <row r="116" spans="2:12" ht="14.25">
      <c r="B116" s="6"/>
      <c r="C116" s="104" t="s">
        <v>23</v>
      </c>
      <c r="D116" s="105"/>
      <c r="E116" s="104"/>
      <c r="F116" s="106"/>
      <c r="G116" s="106"/>
      <c r="H116" s="106"/>
      <c r="I116" s="107">
        <f>54700*1.8</f>
        <v>98460</v>
      </c>
      <c r="J116" s="107">
        <v>1</v>
      </c>
      <c r="K116" s="108">
        <f>J116*I116</f>
        <v>98460</v>
      </c>
      <c r="L116" s="7"/>
    </row>
    <row r="117" spans="2:12" ht="14.25">
      <c r="B117" s="6"/>
      <c r="C117" s="104" t="s">
        <v>24</v>
      </c>
      <c r="D117" s="105"/>
      <c r="E117" s="104"/>
      <c r="F117" s="106"/>
      <c r="G117" s="106"/>
      <c r="H117" s="106"/>
      <c r="I117" s="107">
        <v>15000</v>
      </c>
      <c r="J117" s="107">
        <v>2</v>
      </c>
      <c r="K117" s="108">
        <f>J117*I117</f>
        <v>30000</v>
      </c>
      <c r="L117" s="7"/>
    </row>
    <row r="118" spans="2:12" ht="14.25">
      <c r="B118" s="6"/>
      <c r="C118" s="104" t="s">
        <v>25</v>
      </c>
      <c r="D118" s="105"/>
      <c r="E118" s="104"/>
      <c r="F118" s="106"/>
      <c r="G118" s="106"/>
      <c r="H118" s="106"/>
      <c r="I118" s="107">
        <v>5000</v>
      </c>
      <c r="J118" s="107">
        <v>1</v>
      </c>
      <c r="K118" s="108">
        <f>J118*I118</f>
        <v>5000</v>
      </c>
      <c r="L118" s="7"/>
    </row>
    <row r="119" spans="2:12">
      <c r="B119" s="6"/>
      <c r="C119" s="16"/>
      <c r="E119" s="16"/>
      <c r="F119" s="16"/>
      <c r="G119" s="16"/>
      <c r="H119" s="16"/>
      <c r="I119" s="16"/>
      <c r="J119" s="26"/>
      <c r="K119" s="40"/>
      <c r="L119" s="7"/>
    </row>
    <row r="120" spans="2:12" ht="15.75" thickBot="1">
      <c r="B120" s="6"/>
      <c r="C120" s="109" t="s">
        <v>30</v>
      </c>
      <c r="D120" s="110"/>
      <c r="E120" s="109"/>
      <c r="F120" s="111"/>
      <c r="G120" s="111"/>
      <c r="H120" s="111"/>
      <c r="I120" s="112"/>
      <c r="J120" s="113"/>
      <c r="K120" s="114">
        <f>SUM(K116:K119)</f>
        <v>133460</v>
      </c>
      <c r="L120" s="7"/>
    </row>
    <row r="121" spans="2:12" ht="8.25" customHeight="1" thickTop="1">
      <c r="B121" s="6"/>
      <c r="C121" s="99"/>
      <c r="D121" s="105"/>
      <c r="E121" s="105"/>
      <c r="F121" s="105"/>
      <c r="G121" s="105"/>
      <c r="H121" s="105"/>
      <c r="I121" s="115"/>
      <c r="J121" s="105"/>
      <c r="K121" s="105"/>
      <c r="L121" s="7"/>
    </row>
    <row r="122" spans="2:12" s="16" customFormat="1" ht="14.25">
      <c r="B122" s="15"/>
      <c r="C122" s="104" t="s">
        <v>31</v>
      </c>
      <c r="D122" s="99"/>
      <c r="E122" s="99"/>
      <c r="F122" s="116"/>
      <c r="G122" s="116"/>
      <c r="H122" s="117"/>
      <c r="I122" s="107">
        <v>15000</v>
      </c>
      <c r="J122" s="107">
        <v>2</v>
      </c>
      <c r="K122" s="108">
        <f>J122*I122</f>
        <v>30000</v>
      </c>
      <c r="L122" s="17"/>
    </row>
    <row r="123" spans="2:12" s="16" customFormat="1" ht="8.25" customHeight="1">
      <c r="B123" s="15"/>
      <c r="C123" s="105"/>
      <c r="D123" s="105"/>
      <c r="E123" s="105"/>
      <c r="F123" s="105"/>
      <c r="G123" s="105"/>
      <c r="H123" s="105"/>
      <c r="I123" s="105"/>
      <c r="J123" s="105"/>
      <c r="K123" s="105"/>
      <c r="L123" s="17"/>
    </row>
    <row r="124" spans="2:12" s="16" customFormat="1" ht="15.75" thickBot="1">
      <c r="B124" s="15"/>
      <c r="C124" s="109" t="s">
        <v>32</v>
      </c>
      <c r="D124" s="110"/>
      <c r="E124" s="109"/>
      <c r="F124" s="111"/>
      <c r="G124" s="111"/>
      <c r="H124" s="111"/>
      <c r="I124" s="112"/>
      <c r="J124" s="113"/>
      <c r="K124" s="114">
        <f>SUM(K120:K123)</f>
        <v>163460</v>
      </c>
      <c r="L124" s="17"/>
    </row>
    <row r="125" spans="2:12" s="16" customFormat="1" ht="13.5" thickTop="1"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7"/>
    </row>
    <row r="126" spans="2:12" s="16" customFormat="1" ht="14.25">
      <c r="B126" s="15"/>
      <c r="C126" s="99" t="s">
        <v>33</v>
      </c>
      <c r="D126" s="10"/>
      <c r="E126" s="10"/>
      <c r="F126" s="10"/>
      <c r="G126" s="10"/>
      <c r="H126" s="10"/>
      <c r="I126" s="10"/>
      <c r="J126" s="10"/>
      <c r="K126" s="10"/>
      <c r="L126" s="17"/>
    </row>
    <row r="127" spans="2:12" s="16" customFormat="1"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7"/>
    </row>
    <row r="128" spans="2:12" s="16" customFormat="1" ht="15">
      <c r="B128" s="15"/>
      <c r="C128" s="92" t="s">
        <v>34</v>
      </c>
      <c r="D128" s="93">
        <v>1</v>
      </c>
      <c r="E128" s="93">
        <v>2</v>
      </c>
      <c r="F128" s="93">
        <v>3</v>
      </c>
      <c r="G128" s="93">
        <v>4</v>
      </c>
      <c r="H128" s="93">
        <v>5</v>
      </c>
      <c r="I128" s="93">
        <v>6</v>
      </c>
      <c r="J128" s="94">
        <v>7</v>
      </c>
      <c r="K128" s="92" t="s">
        <v>36</v>
      </c>
      <c r="L128" s="17"/>
    </row>
    <row r="129" spans="2:12" s="16" customFormat="1" ht="14.25">
      <c r="B129" s="15"/>
      <c r="C129" s="92" t="s">
        <v>35</v>
      </c>
      <c r="D129" s="95">
        <v>5000</v>
      </c>
      <c r="E129" s="95">
        <v>5000</v>
      </c>
      <c r="F129" s="96">
        <v>5000</v>
      </c>
      <c r="G129" s="96">
        <v>6000</v>
      </c>
      <c r="H129" s="96">
        <v>7000</v>
      </c>
      <c r="I129" s="96">
        <v>7000</v>
      </c>
      <c r="J129" s="96">
        <v>7000</v>
      </c>
      <c r="K129" s="97">
        <f>SUM(D129:J129)</f>
        <v>42000</v>
      </c>
      <c r="L129" s="17"/>
    </row>
    <row r="130" spans="2:12"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9"/>
    </row>
    <row r="134" spans="2:12" ht="15">
      <c r="C134" s="29"/>
    </row>
  </sheetData>
  <mergeCells count="1">
    <mergeCell ref="B1:K1"/>
  </mergeCells>
  <phoneticPr fontId="3" type="noConversion"/>
  <conditionalFormatting sqref="D47">
    <cfRule type="cellIs" dxfId="1" priority="1" stopIfTrue="1" operator="greaterThan">
      <formula>0</formula>
    </cfRule>
  </conditionalFormatting>
  <conditionalFormatting sqref="E47:K48">
    <cfRule type="expression" dxfId="0" priority="2" stopIfTrue="1">
      <formula>"if($H$23&gt;0;""false"";""TRUE"")"</formula>
    </cfRule>
  </conditionalFormatting>
  <pageMargins left="0.39370078740157483" right="0" top="0.19685039370078741" bottom="0" header="0.39370078740157483" footer="0"/>
  <pageSetup paperSize="9" scale="66" orientation="portrait" verticalDpi="300" r:id="rId1"/>
  <headerFooter alignWithMargins="0"/>
  <rowBreaks count="1" manualBreakCount="1">
    <brk id="8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Empilhadeiras Elétricas</vt:lpstr>
      <vt:lpstr>'Empilhadeiras Elétricas'!Titulos_de_impressao</vt:lpstr>
    </vt:vector>
  </TitlesOfParts>
  <Company>Scania Latin America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Carneiro</dc:creator>
  <cp:lastModifiedBy>Edgard Gonçalves Cardoso</cp:lastModifiedBy>
  <cp:lastPrinted>2008-09-18T16:04:00Z</cp:lastPrinted>
  <dcterms:created xsi:type="dcterms:W3CDTF">2006-09-22T11:02:13Z</dcterms:created>
  <dcterms:modified xsi:type="dcterms:W3CDTF">2023-02-21T19:42:34Z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-1958415746</vt:i4>
  </property>
  <property fmtid="{D5CDD505-2E9C-101B-9397-08002B2CF9AE}" pid="3" name="_EmailSubject">
    <vt:lpwstr>Rent or Buy - Empilhadeira</vt:lpwstr>
  </property>
  <property fmtid="{D5CDD505-2E9C-101B-9397-08002B2CF9AE}" pid="4" name="_AuthorEmail">
    <vt:lpwstr>Debora.Tanaka@scania.com</vt:lpwstr>
  </property>
  <property fmtid="{D5CDD505-2E9C-101B-9397-08002B2CF9AE}" pid="5" name="_AuthorEmailDisplayName">
    <vt:lpwstr>Tanaka Debora Kimie</vt:lpwstr>
  </property>
  <property fmtid="{D5CDD505-2E9C-101B-9397-08002B2CF9AE}" pid="6" name="_ReviewingToolsShownOnce">
    <vt:lpwstr/>
  </property>
</Properties>
</file>