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cmec_man\man_atividades\planilhas\"/>
    </mc:Choice>
  </mc:AlternateContent>
  <bookViews>
    <workbookView xWindow="-120" yWindow="-120" windowWidth="20730" windowHeight="11160"/>
  </bookViews>
  <sheets>
    <sheet name="correias" sheetId="4" r:id="rId1"/>
  </sheets>
  <definedNames>
    <definedName name="Fator_serviço" localSheetId="0">correias!$C$8</definedName>
    <definedName name="Fator_serviç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4" l="1"/>
  <c r="C28" i="4" l="1"/>
  <c r="D26" i="4"/>
  <c r="F13" i="4" s="1"/>
  <c r="C20" i="4"/>
  <c r="C24" i="4" s="1"/>
  <c r="C18" i="4"/>
  <c r="C17" i="4"/>
  <c r="C14" i="4"/>
  <c r="C11" i="4"/>
  <c r="F6" i="4"/>
  <c r="F7" i="4" s="1"/>
  <c r="H4" i="4"/>
  <c r="F4" i="4"/>
  <c r="C4" i="4"/>
  <c r="G11" i="4" s="1"/>
  <c r="G5" i="4" l="1"/>
  <c r="H6" i="4" s="1"/>
  <c r="H7" i="4" s="1"/>
  <c r="F12" i="4"/>
  <c r="G8" i="4" s="1"/>
  <c r="F14" i="4" s="1"/>
  <c r="F15" i="4" s="1"/>
  <c r="H13" i="4" s="1"/>
  <c r="H12" i="4"/>
  <c r="C9" i="4"/>
  <c r="C29" i="4" s="1"/>
</calcChain>
</file>

<file path=xl/comments1.xml><?xml version="1.0" encoding="utf-8"?>
<comments xmlns="http://schemas.openxmlformats.org/spreadsheetml/2006/main">
  <authors>
    <author>daniel</author>
  </authors>
  <commentList>
    <comment ref="E11" authorId="0" shapeId="0">
      <text>
        <r>
          <rPr>
            <sz val="9"/>
            <color indexed="81"/>
            <rFont val="Tahoma"/>
            <family val="2"/>
          </rPr>
          <t xml:space="preserve">
Motor+Polias+Mancais</t>
        </r>
      </text>
    </comment>
    <comment ref="C21" authorId="0" shapeId="0">
      <text>
        <r>
          <rPr>
            <sz val="9"/>
            <color indexed="81"/>
            <rFont val="Tahoma"/>
            <charset val="1"/>
          </rPr>
          <t xml:space="preserve">
Tabela A de cada tipo de correia</t>
        </r>
      </text>
    </comment>
    <comment ref="C22" authorId="0" shapeId="0">
      <text>
        <r>
          <rPr>
            <sz val="9"/>
            <color indexed="81"/>
            <rFont val="Tahoma"/>
            <charset val="1"/>
          </rPr>
          <t xml:space="preserve">
Tabela B de cada tipo de correia</t>
        </r>
      </text>
    </comment>
    <comment ref="C23" authorId="0" shapeId="0">
      <text>
        <r>
          <rPr>
            <sz val="9"/>
            <color indexed="81"/>
            <rFont val="Tahoma"/>
            <charset val="1"/>
          </rPr>
          <t xml:space="preserve">
Tabela C de cada tipo de correia</t>
        </r>
      </text>
    </comment>
    <comment ref="C25" authorId="0" shapeId="0">
      <text>
        <r>
          <rPr>
            <sz val="9"/>
            <color indexed="81"/>
            <rFont val="Tahoma"/>
            <charset val="1"/>
          </rPr>
          <t>Tabela G de cada tipo de correia</t>
        </r>
      </text>
    </comment>
    <comment ref="C27" authorId="0" shapeId="0">
      <text>
        <r>
          <rPr>
            <sz val="9"/>
            <color indexed="81"/>
            <rFont val="Tahoma"/>
            <charset val="1"/>
          </rPr>
          <t xml:space="preserve">
Tabela CL de cada tipo de correia</t>
        </r>
      </text>
    </comment>
    <comment ref="C28" authorId="0" shapeId="0">
      <text>
        <r>
          <rPr>
            <sz val="9"/>
            <color indexed="81"/>
            <rFont val="Tahoma"/>
            <family val="2"/>
          </rPr>
          <t xml:space="preserve">
(A + B + C) x G x CL</t>
        </r>
      </text>
    </comment>
    <comment ref="C29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 xml:space="preserve">      Design kW        </t>
        </r>
        <r>
          <rPr>
            <sz val="9"/>
            <color indexed="81"/>
            <rFont val="Tahoma"/>
            <family val="2"/>
          </rPr>
          <t xml:space="preserve">
(A + B + C) x G x CL</t>
        </r>
      </text>
    </comment>
  </commentList>
</comments>
</file>

<file path=xl/sharedStrings.xml><?xml version="1.0" encoding="utf-8"?>
<sst xmlns="http://schemas.openxmlformats.org/spreadsheetml/2006/main" count="50" uniqueCount="50">
  <si>
    <t>DIMENSIONAMENTO DE CORREIAS</t>
  </si>
  <si>
    <t>DADOS INICIAS</t>
  </si>
  <si>
    <t>Dist. Centro</t>
  </si>
  <si>
    <t>Rot.Motor</t>
  </si>
  <si>
    <t>Rot.Movida</t>
  </si>
  <si>
    <t>Comp. de Ajuste</t>
  </si>
  <si>
    <t>Fator H previa</t>
  </si>
  <si>
    <t>Fator H</t>
  </si>
  <si>
    <t>Potencia motor (cv)</t>
  </si>
  <si>
    <t>D - d / A</t>
  </si>
  <si>
    <t>Potencia motor (W)</t>
  </si>
  <si>
    <t>RELAÇÕES NA TRANSMISSÃO</t>
  </si>
  <si>
    <t>driveR</t>
  </si>
  <si>
    <t>driveN</t>
  </si>
  <si>
    <t>øD</t>
  </si>
  <si>
    <t>i=</t>
  </si>
  <si>
    <t>n1</t>
  </si>
  <si>
    <t>n2</t>
  </si>
  <si>
    <t>Mt2</t>
  </si>
  <si>
    <t>w2</t>
  </si>
  <si>
    <t>w1 (Rad/s)</t>
  </si>
  <si>
    <t>ød (mm)</t>
  </si>
  <si>
    <t>Quad. XPA</t>
  </si>
  <si>
    <t>ηcorreia</t>
  </si>
  <si>
    <t>ηmancais</t>
  </si>
  <si>
    <t>Mt1 (Nm)</t>
  </si>
  <si>
    <t>Ft (Nm)</t>
  </si>
  <si>
    <t>F1/F2</t>
  </si>
  <si>
    <t>Arco de Contato (graus/rads)</t>
  </si>
  <si>
    <t>F2</t>
  </si>
  <si>
    <t>F1</t>
  </si>
  <si>
    <t>FR (N)</t>
  </si>
  <si>
    <t>Pot. Util Sistema (W)</t>
  </si>
  <si>
    <t>Tabela_Fator_Serviço</t>
  </si>
  <si>
    <t>Potencia Projetada (W)</t>
  </si>
  <si>
    <t>Seleção Perfil</t>
  </si>
  <si>
    <t>Relação de Transmissão</t>
  </si>
  <si>
    <t>øPolia Motora/Movida</t>
  </si>
  <si>
    <t>Vel. Tang.&lt;30m/s</t>
  </si>
  <si>
    <t>Comp. calculado</t>
  </si>
  <si>
    <t>Comprimento Padronizado</t>
  </si>
  <si>
    <t>Nova distancia de centros</t>
  </si>
  <si>
    <t>Potencia Basica (Kw)                           Pot Ad. Speed ratio (Kw)                          Pot Ad. Vida util (Kw)</t>
  </si>
  <si>
    <t>Fator correção Arco Contato</t>
  </si>
  <si>
    <t>Fator correção comp. correia</t>
  </si>
  <si>
    <t>Potencia por correia (Kw)</t>
  </si>
  <si>
    <t>Numero de correias</t>
  </si>
  <si>
    <t>Largura da Polia</t>
  </si>
  <si>
    <t>Tolerancia Min Instalacao</t>
  </si>
  <si>
    <t>Tolerancia Min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</si>
</sst>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0000000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u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1" fillId="3" borderId="1" xfId="1" applyFill="1" applyBorder="1"/>
    <xf numFmtId="2" fontId="0" fillId="0" borderId="0" xfId="0" applyNumberFormat="1"/>
    <xf numFmtId="166" fontId="0" fillId="0" borderId="0" xfId="0" applyNumberFormat="1"/>
    <xf numFmtId="0" fontId="0" fillId="5" borderId="1" xfId="0" applyFill="1" applyBorder="1"/>
    <xf numFmtId="0" fontId="0" fillId="6" borderId="1" xfId="0" applyFill="1" applyBorder="1"/>
    <xf numFmtId="2" fontId="0" fillId="6" borderId="1" xfId="0" applyNumberFormat="1" applyFill="1" applyBorder="1"/>
    <xf numFmtId="0" fontId="0" fillId="6" borderId="1" xfId="0" applyFill="1" applyBorder="1" applyAlignment="1">
      <alignment horizontal="center" vertical="center"/>
    </xf>
    <xf numFmtId="164" fontId="0" fillId="6" borderId="1" xfId="0" applyNumberFormat="1" applyFill="1" applyBorder="1"/>
    <xf numFmtId="165" fontId="0" fillId="6" borderId="1" xfId="0" applyNumberFormat="1" applyFill="1" applyBorder="1"/>
    <xf numFmtId="164" fontId="0" fillId="6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2" fillId="4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1" fillId="3" borderId="4" xfId="1" applyFill="1" applyBorder="1" applyAlignment="1">
      <alignment vertical="top" wrapText="1"/>
    </xf>
    <xf numFmtId="0" fontId="1" fillId="3" borderId="5" xfId="1" applyFill="1" applyBorder="1" applyAlignment="1">
      <alignment vertical="top" wrapText="1"/>
    </xf>
    <xf numFmtId="0" fontId="1" fillId="3" borderId="6" xfId="1" applyFill="1" applyBorder="1" applyAlignment="1">
      <alignment vertical="top" wrapText="1"/>
    </xf>
    <xf numFmtId="164" fontId="0" fillId="6" borderId="1" xfId="0" applyNumberForma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" fillId="5" borderId="1" xfId="1" applyFill="1" applyBorder="1" applyAlignment="1">
      <alignment horizontal="center"/>
    </xf>
    <xf numFmtId="2" fontId="0" fillId="6" borderId="2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0" fontId="1" fillId="3" borderId="4" xfId="1" applyFill="1" applyBorder="1" applyAlignment="1">
      <alignment horizontal="left" vertical="center"/>
    </xf>
    <xf numFmtId="0" fontId="1" fillId="3" borderId="6" xfId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2" fontId="0" fillId="6" borderId="4" xfId="0" applyNumberFormat="1" applyFill="1" applyBorder="1" applyAlignment="1">
      <alignment horizontal="center" vertical="center"/>
    </xf>
    <xf numFmtId="2" fontId="0" fillId="6" borderId="5" xfId="0" applyNumberFormat="1" applyFill="1" applyBorder="1" applyAlignment="1">
      <alignment horizontal="center" vertical="center"/>
    </xf>
    <xf numFmtId="2" fontId="0" fillId="6" borderId="6" xfId="0" applyNumberForma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449581</xdr:colOff>
      <xdr:row>0</xdr:row>
      <xdr:rowOff>76200</xdr:rowOff>
    </xdr:from>
    <xdr:to>
      <xdr:col>15</xdr:col>
      <xdr:colOff>464820</xdr:colOff>
      <xdr:row>11</xdr:row>
      <xdr:rowOff>60960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164706" y="76200"/>
          <a:ext cx="3453764" cy="2223135"/>
          <a:chOff x="5120640" y="579120"/>
          <a:chExt cx="3895821" cy="269748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20640" y="579120"/>
            <a:ext cx="3895821" cy="26974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6446520" y="2667000"/>
            <a:ext cx="929550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100"/>
              <a:t>Largura Polia</a:t>
            </a:r>
          </a:p>
        </xdr:txBody>
      </xdr: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5" name="TextBox 4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SpPr txBox="1"/>
            </xdr:nvSpPr>
            <xdr:spPr>
              <a:xfrm>
                <a:off x="6210300" y="2891790"/>
                <a:ext cx="1485900" cy="26456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n-GB" sz="1100" b="0" i="1">
                          <a:latin typeface="Cambria Math"/>
                        </a:rPr>
                        <m:t>𝐿</m:t>
                      </m:r>
                      <m:r>
                        <a:rPr lang="en-GB" sz="1100" b="0" i="1">
                          <a:latin typeface="Cambria Math"/>
                        </a:rPr>
                        <m:t>=2</m:t>
                      </m:r>
                      <m:r>
                        <a:rPr lang="en-GB" sz="1100" b="0" i="1">
                          <a:latin typeface="Cambria Math"/>
                        </a:rPr>
                        <m:t>𝑓</m:t>
                      </m:r>
                      <m:r>
                        <a:rPr lang="en-GB" sz="1100" b="0" i="1">
                          <a:latin typeface="Cambria Math"/>
                        </a:rPr>
                        <m:t>+</m:t>
                      </m:r>
                      <m:r>
                        <a:rPr lang="en-GB" sz="1100" b="0" i="1">
                          <a:latin typeface="Cambria Math"/>
                        </a:rPr>
                        <m:t>𝑒</m:t>
                      </m:r>
                      <m:r>
                        <a:rPr lang="en-GB" sz="1100" b="0" i="1">
                          <a:latin typeface="Cambria Math"/>
                        </a:rPr>
                        <m:t>(</m:t>
                      </m:r>
                      <m:r>
                        <a:rPr lang="en-GB" sz="1100" b="0" i="1">
                          <a:latin typeface="Cambria Math"/>
                        </a:rPr>
                        <m:t>𝑁</m:t>
                      </m:r>
                      <m:r>
                        <a:rPr lang="en-GB" sz="1100" b="0" i="1">
                          <a:latin typeface="Cambria Math"/>
                        </a:rPr>
                        <m:t>−1)</m:t>
                      </m:r>
                    </m:oMath>
                  </m:oMathPara>
                </a14:m>
                <a:endParaRPr lang="en-GB" sz="1100"/>
              </a:p>
            </xdr:txBody>
          </xdr:sp>
        </mc:Choice>
        <mc:Fallback xmlns="">
          <xdr:sp macro="" textlink="">
            <xdr:nvSpPr>
              <xdr:cNvPr id="5" name="TextBox 4"/>
              <xdr:cNvSpPr txBox="1"/>
            </xdr:nvSpPr>
            <xdr:spPr>
              <a:xfrm>
                <a:off x="6210300" y="2891790"/>
                <a:ext cx="1485900" cy="26456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/>
                <a:r>
                  <a:rPr lang="en-GB" sz="1100" b="0" i="0">
                    <a:latin typeface="Cambria Math"/>
                  </a:rPr>
                  <a:t>𝐿=2𝑓+𝑒(𝑁−1)</a:t>
                </a:r>
                <a:endParaRPr lang="en-GB" sz="1100"/>
              </a:p>
            </xdr:txBody>
          </xdr:sp>
        </mc:Fallback>
      </mc:AlternateContent>
    </xdr:grpSp>
    <xdr:clientData/>
  </xdr:twoCellAnchor>
  <xdr:twoCellAnchor editAs="oneCell">
    <xdr:from>
      <xdr:col>14</xdr:col>
      <xdr:colOff>400136</xdr:colOff>
      <xdr:row>4</xdr:row>
      <xdr:rowOff>85725</xdr:rowOff>
    </xdr:from>
    <xdr:to>
      <xdr:col>20</xdr:col>
      <xdr:colOff>108499</xdr:colOff>
      <xdr:row>15</xdr:row>
      <xdr:rowOff>180900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961" y="990600"/>
          <a:ext cx="3261188" cy="219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285750</xdr:colOff>
      <xdr:row>13</xdr:row>
      <xdr:rowOff>163830</xdr:rowOff>
    </xdr:from>
    <xdr:to>
      <xdr:col>15</xdr:col>
      <xdr:colOff>135255</xdr:colOff>
      <xdr:row>23</xdr:row>
      <xdr:rowOff>5715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2783205"/>
          <a:ext cx="3897630" cy="1737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Tabela_Largura_Polia.pdf" TargetMode="External"/><Relationship Id="rId13" Type="http://schemas.openxmlformats.org/officeDocument/2006/relationships/comments" Target="../comments1.xml"/><Relationship Id="rId3" Type="http://schemas.openxmlformats.org/officeDocument/2006/relationships/hyperlink" Target="Tabela_Selecao_Comprimento.pdf" TargetMode="External"/><Relationship Id="rId7" Type="http://schemas.openxmlformats.org/officeDocument/2006/relationships/hyperlink" Target="Tabela_Polias.pdf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Tabela_Selecao_Perfil.pdf" TargetMode="External"/><Relationship Id="rId1" Type="http://schemas.openxmlformats.org/officeDocument/2006/relationships/hyperlink" Target="Tabela_Fator_Servi&#231;o.pdf" TargetMode="External"/><Relationship Id="rId6" Type="http://schemas.openxmlformats.org/officeDocument/2006/relationships/hyperlink" Target="Tabela_Potencia_Basica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Tabela_Tolerancia_Instalacao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Tabela_Fator_H.jpg" TargetMode="External"/><Relationship Id="rId9" Type="http://schemas.openxmlformats.org/officeDocument/2006/relationships/hyperlink" Target="Tabela_Rendimento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"/>
  <sheetViews>
    <sheetView tabSelected="1" topLeftCell="B1" workbookViewId="0">
      <selection activeCell="I26" sqref="I26"/>
    </sheetView>
  </sheetViews>
  <sheetFormatPr defaultRowHeight="15" x14ac:dyDescent="0.25"/>
  <cols>
    <col min="1" max="1" width="3" bestFit="1" customWidth="1"/>
    <col min="2" max="2" width="30.28515625" bestFit="1" customWidth="1"/>
    <col min="3" max="3" width="12" bestFit="1" customWidth="1"/>
    <col min="5" max="5" width="9.7109375" bestFit="1" customWidth="1"/>
    <col min="12" max="12" width="9.7109375" bestFit="1" customWidth="1"/>
    <col min="13" max="13" width="10.140625" customWidth="1"/>
    <col min="14" max="14" width="5.85546875" bestFit="1" customWidth="1"/>
    <col min="15" max="15" width="7.5703125" bestFit="1" customWidth="1"/>
  </cols>
  <sheetData>
    <row r="1" spans="1:8" ht="26.4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8" x14ac:dyDescent="0.25">
      <c r="A2" s="17">
        <v>1</v>
      </c>
      <c r="B2" s="18" t="s">
        <v>1</v>
      </c>
      <c r="C2" s="19"/>
      <c r="E2" s="21" t="s">
        <v>11</v>
      </c>
      <c r="F2" s="21"/>
      <c r="G2" s="21"/>
      <c r="H2" s="21"/>
    </row>
    <row r="3" spans="1:8" x14ac:dyDescent="0.25">
      <c r="A3" s="4">
        <v>2</v>
      </c>
      <c r="B3" s="1" t="s">
        <v>8</v>
      </c>
      <c r="C3" s="10">
        <v>12</v>
      </c>
      <c r="E3" s="22" t="s">
        <v>12</v>
      </c>
      <c r="F3" s="22"/>
      <c r="G3" s="22" t="s">
        <v>13</v>
      </c>
      <c r="H3" s="22"/>
    </row>
    <row r="4" spans="1:8" x14ac:dyDescent="0.25">
      <c r="A4" s="4">
        <v>3</v>
      </c>
      <c r="B4" s="1" t="s">
        <v>10</v>
      </c>
      <c r="C4" s="10">
        <f>(C3*735.5)</f>
        <v>8826</v>
      </c>
      <c r="E4" s="8" t="s">
        <v>21</v>
      </c>
      <c r="F4" s="9">
        <f>C12</f>
        <v>95</v>
      </c>
      <c r="G4" s="8" t="s">
        <v>14</v>
      </c>
      <c r="H4" s="9">
        <f>C13</f>
        <v>212</v>
      </c>
    </row>
    <row r="5" spans="1:8" x14ac:dyDescent="0.25">
      <c r="A5" s="4">
        <v>4</v>
      </c>
      <c r="B5" s="1" t="s">
        <v>2</v>
      </c>
      <c r="C5" s="9">
        <v>760</v>
      </c>
      <c r="E5" s="23" t="s">
        <v>15</v>
      </c>
      <c r="F5" s="23"/>
      <c r="G5" s="24">
        <f>H4/F4</f>
        <v>2.2315789473684209</v>
      </c>
      <c r="H5" s="24"/>
    </row>
    <row r="6" spans="1:8" x14ac:dyDescent="0.25">
      <c r="A6" s="4">
        <v>5</v>
      </c>
      <c r="B6" s="1" t="s">
        <v>3</v>
      </c>
      <c r="C6" s="9">
        <v>1480</v>
      </c>
      <c r="E6" s="8" t="s">
        <v>16</v>
      </c>
      <c r="F6" s="11">
        <f>C6</f>
        <v>1480</v>
      </c>
      <c r="G6" s="8" t="s">
        <v>17</v>
      </c>
      <c r="H6" s="14">
        <f>F6/G5</f>
        <v>663.20754716981139</v>
      </c>
    </row>
    <row r="7" spans="1:8" x14ac:dyDescent="0.25">
      <c r="A7" s="4">
        <v>6</v>
      </c>
      <c r="B7" s="1" t="s">
        <v>4</v>
      </c>
      <c r="C7" s="9">
        <v>500</v>
      </c>
      <c r="E7" s="8" t="s">
        <v>20</v>
      </c>
      <c r="F7" s="14">
        <f>(3.14*F6)/30</f>
        <v>154.90666666666667</v>
      </c>
      <c r="G7" s="8" t="s">
        <v>19</v>
      </c>
      <c r="H7" s="14">
        <f>(3.14*H6)/30</f>
        <v>69.415723270440267</v>
      </c>
    </row>
    <row r="8" spans="1:8" x14ac:dyDescent="0.25">
      <c r="A8" s="4">
        <v>7</v>
      </c>
      <c r="B8" s="2" t="s">
        <v>33</v>
      </c>
      <c r="C8" s="9">
        <v>1.2</v>
      </c>
      <c r="E8" s="23" t="s">
        <v>26</v>
      </c>
      <c r="F8" s="23"/>
      <c r="G8" s="28">
        <f>2*F12/(F4/1000)</f>
        <v>1140.2445751148396</v>
      </c>
      <c r="H8" s="28"/>
    </row>
    <row r="9" spans="1:8" x14ac:dyDescent="0.25">
      <c r="A9" s="4">
        <v>8</v>
      </c>
      <c r="B9" s="2" t="s">
        <v>34</v>
      </c>
      <c r="C9" s="10">
        <f>C4*Fator_serviço</f>
        <v>10591.199999999999</v>
      </c>
      <c r="E9" s="29" t="s">
        <v>23</v>
      </c>
      <c r="F9" s="29"/>
      <c r="G9" s="30">
        <v>0.97</v>
      </c>
      <c r="H9" s="30"/>
    </row>
    <row r="10" spans="1:8" x14ac:dyDescent="0.25">
      <c r="A10" s="4">
        <v>9</v>
      </c>
      <c r="B10" s="2" t="s">
        <v>35</v>
      </c>
      <c r="C10" s="11" t="s">
        <v>22</v>
      </c>
      <c r="E10" s="29" t="s">
        <v>24</v>
      </c>
      <c r="F10" s="29"/>
      <c r="G10" s="31">
        <v>0.98</v>
      </c>
      <c r="H10" s="32"/>
    </row>
    <row r="11" spans="1:8" x14ac:dyDescent="0.25">
      <c r="A11" s="4">
        <v>10</v>
      </c>
      <c r="B11" s="2" t="s">
        <v>36</v>
      </c>
      <c r="C11" s="10">
        <f>C6/C7</f>
        <v>2.96</v>
      </c>
      <c r="E11" s="33" t="s">
        <v>32</v>
      </c>
      <c r="F11" s="33"/>
      <c r="G11" s="34">
        <f>C4*G9*G10</f>
        <v>8389.9955999999984</v>
      </c>
      <c r="H11" s="35"/>
    </row>
    <row r="12" spans="1:8" x14ac:dyDescent="0.25">
      <c r="A12" s="4">
        <v>11</v>
      </c>
      <c r="B12" s="36" t="s">
        <v>37</v>
      </c>
      <c r="C12" s="9">
        <v>95</v>
      </c>
      <c r="E12" s="16" t="s">
        <v>25</v>
      </c>
      <c r="F12" s="14">
        <f>G11/F7</f>
        <v>54.161617317954885</v>
      </c>
      <c r="G12" s="8" t="s">
        <v>18</v>
      </c>
      <c r="H12" s="14">
        <f>G11/H7</f>
        <v>120.86592496217298</v>
      </c>
    </row>
    <row r="13" spans="1:8" x14ac:dyDescent="0.25">
      <c r="A13" s="4">
        <v>12</v>
      </c>
      <c r="B13" s="37"/>
      <c r="C13" s="9">
        <v>212</v>
      </c>
      <c r="E13" s="16" t="s">
        <v>27</v>
      </c>
      <c r="F13" s="15">
        <f>2.718^(0.25*D26)</f>
        <v>2.113224091588187</v>
      </c>
      <c r="G13" s="38" t="s">
        <v>31</v>
      </c>
      <c r="H13" s="41">
        <f>SQRT(F15^2+F14^2+2*F15*F14*ABS(COS(D26)))</f>
        <v>3181.1358419031048</v>
      </c>
    </row>
    <row r="14" spans="1:8" x14ac:dyDescent="0.25">
      <c r="A14" s="4">
        <v>13</v>
      </c>
      <c r="B14" s="2" t="s">
        <v>38</v>
      </c>
      <c r="C14" s="12">
        <f>(C12*C6)/19100</f>
        <v>7.3612565445026181</v>
      </c>
      <c r="E14" s="16" t="s">
        <v>29</v>
      </c>
      <c r="F14" s="15">
        <f>G8/(F13-1)</f>
        <v>1024.2722770112741</v>
      </c>
      <c r="G14" s="39"/>
      <c r="H14" s="42"/>
    </row>
    <row r="15" spans="1:8" x14ac:dyDescent="0.25">
      <c r="A15" s="4">
        <v>14</v>
      </c>
      <c r="B15" s="2" t="s">
        <v>39</v>
      </c>
      <c r="C15" s="12">
        <f>2*C5+1.57*(C13+C12)+(C13+C12)^2/(4*C5)</f>
        <v>2032.9929605263158</v>
      </c>
      <c r="E15" s="16" t="s">
        <v>30</v>
      </c>
      <c r="F15" s="15">
        <f>F14*F13</f>
        <v>2164.5168521261135</v>
      </c>
      <c r="G15" s="40"/>
      <c r="H15" s="43"/>
    </row>
    <row r="16" spans="1:8" x14ac:dyDescent="0.25">
      <c r="A16" s="4">
        <v>15</v>
      </c>
      <c r="B16" s="2" t="s">
        <v>40</v>
      </c>
      <c r="C16" s="9">
        <v>2000</v>
      </c>
    </row>
    <row r="17" spans="1:12" x14ac:dyDescent="0.25">
      <c r="A17" s="4">
        <v>16</v>
      </c>
      <c r="B17" s="2" t="s">
        <v>5</v>
      </c>
      <c r="C17" s="12">
        <f>C16-1.57*(C13+C12)</f>
        <v>1518.01</v>
      </c>
    </row>
    <row r="18" spans="1:12" x14ac:dyDescent="0.25">
      <c r="A18" s="4">
        <v>17</v>
      </c>
      <c r="B18" s="2" t="s">
        <v>6</v>
      </c>
      <c r="C18" s="13">
        <f>(C13-C12)/C17</f>
        <v>7.7074591076475116E-2</v>
      </c>
      <c r="L18" s="7"/>
    </row>
    <row r="19" spans="1:12" x14ac:dyDescent="0.25">
      <c r="A19" s="4">
        <v>18</v>
      </c>
      <c r="B19" s="2" t="s">
        <v>7</v>
      </c>
      <c r="C19" s="13">
        <v>3.5000000000000003E-2</v>
      </c>
      <c r="L19" s="7"/>
    </row>
    <row r="20" spans="1:12" x14ac:dyDescent="0.25">
      <c r="A20" s="4">
        <v>19</v>
      </c>
      <c r="B20" s="2" t="s">
        <v>41</v>
      </c>
      <c r="C20" s="12">
        <f>(C17-C19*(C13-C12))/2</f>
        <v>756.95749999999998</v>
      </c>
    </row>
    <row r="21" spans="1:12" ht="14.45" customHeight="1" x14ac:dyDescent="0.25">
      <c r="A21" s="4">
        <v>20</v>
      </c>
      <c r="B21" s="25" t="s">
        <v>42</v>
      </c>
      <c r="C21" s="9">
        <v>8.02</v>
      </c>
    </row>
    <row r="22" spans="1:12" x14ac:dyDescent="0.25">
      <c r="A22" s="4">
        <v>21</v>
      </c>
      <c r="B22" s="26"/>
      <c r="C22" s="9">
        <v>0.76</v>
      </c>
    </row>
    <row r="23" spans="1:12" x14ac:dyDescent="0.25">
      <c r="A23" s="4">
        <v>22</v>
      </c>
      <c r="B23" s="27"/>
      <c r="C23" s="9">
        <v>0.75</v>
      </c>
    </row>
    <row r="24" spans="1:12" x14ac:dyDescent="0.25">
      <c r="A24" s="4">
        <v>23</v>
      </c>
      <c r="B24" s="3" t="s">
        <v>9</v>
      </c>
      <c r="C24" s="10">
        <f>(C13-C12)/C20</f>
        <v>0.15456614142801942</v>
      </c>
    </row>
    <row r="25" spans="1:12" x14ac:dyDescent="0.25">
      <c r="A25" s="4">
        <v>24</v>
      </c>
      <c r="B25" s="2" t="s">
        <v>43</v>
      </c>
      <c r="C25" s="9">
        <v>0.98</v>
      </c>
    </row>
    <row r="26" spans="1:12" x14ac:dyDescent="0.25">
      <c r="A26" s="4">
        <v>25</v>
      </c>
      <c r="B26" s="2" t="s">
        <v>28</v>
      </c>
      <c r="C26" s="9">
        <v>171.5</v>
      </c>
      <c r="D26" s="12">
        <f>C26*3.141519/180</f>
        <v>2.9931694916666669</v>
      </c>
      <c r="G26" s="6"/>
    </row>
    <row r="27" spans="1:12" x14ac:dyDescent="0.25">
      <c r="A27" s="4">
        <v>26</v>
      </c>
      <c r="B27" s="2" t="s">
        <v>44</v>
      </c>
      <c r="C27" s="9">
        <v>0.98</v>
      </c>
    </row>
    <row r="28" spans="1:12" x14ac:dyDescent="0.25">
      <c r="A28" s="4">
        <v>27</v>
      </c>
      <c r="B28" s="2" t="s">
        <v>45</v>
      </c>
      <c r="C28" s="10">
        <f>(C21+C22+C23)*C25*C27</f>
        <v>9.1526119999999995</v>
      </c>
    </row>
    <row r="29" spans="1:12" x14ac:dyDescent="0.25">
      <c r="A29" s="4">
        <v>28</v>
      </c>
      <c r="B29" s="2" t="s">
        <v>46</v>
      </c>
      <c r="C29" s="12">
        <f>(C9/C28)/1000</f>
        <v>1.1571778635432159</v>
      </c>
    </row>
    <row r="30" spans="1:12" x14ac:dyDescent="0.25">
      <c r="A30" s="4">
        <v>29</v>
      </c>
      <c r="B30" s="5" t="s">
        <v>47</v>
      </c>
      <c r="C30" s="9">
        <v>65</v>
      </c>
    </row>
    <row r="31" spans="1:12" x14ac:dyDescent="0.25">
      <c r="A31" s="4">
        <v>30</v>
      </c>
      <c r="B31" s="2" t="s">
        <v>48</v>
      </c>
      <c r="C31" s="9">
        <v>25</v>
      </c>
    </row>
    <row r="32" spans="1:12" x14ac:dyDescent="0.25">
      <c r="A32" s="4">
        <v>31</v>
      </c>
      <c r="B32" s="2" t="s">
        <v>49</v>
      </c>
      <c r="C32" s="9">
        <v>40</v>
      </c>
    </row>
  </sheetData>
  <mergeCells count="19">
    <mergeCell ref="E5:F5"/>
    <mergeCell ref="G5:H5"/>
    <mergeCell ref="B21:B23"/>
    <mergeCell ref="E8:F8"/>
    <mergeCell ref="G8:H8"/>
    <mergeCell ref="E9:F9"/>
    <mergeCell ref="G9:H9"/>
    <mergeCell ref="E10:F10"/>
    <mergeCell ref="G10:H10"/>
    <mergeCell ref="E11:F11"/>
    <mergeCell ref="G11:H11"/>
    <mergeCell ref="B12:B13"/>
    <mergeCell ref="G13:G15"/>
    <mergeCell ref="H13:H15"/>
    <mergeCell ref="B2:C2"/>
    <mergeCell ref="A1:H1"/>
    <mergeCell ref="E2:H2"/>
    <mergeCell ref="E3:F3"/>
    <mergeCell ref="G3:H3"/>
  </mergeCells>
  <hyperlinks>
    <hyperlink ref="B8" r:id="rId1" display="Tabela_Fator_Serviço.pdf"/>
    <hyperlink ref="B10" r:id="rId2" display="Tabela_Selecao_Perfil.pdf"/>
    <hyperlink ref="B16" r:id="rId3" display="8-Comprimento Padronizado"/>
    <hyperlink ref="B19" r:id="rId4"/>
    <hyperlink ref="B31" r:id="rId5" display="16-Tolerancia Min Instalacao"/>
    <hyperlink ref="B21:B23" r:id="rId6" display="10-Potencia Basica                           Pot Ad. Speed ratio                          Pot Ad. Vida util"/>
    <hyperlink ref="B12:B13" r:id="rId7" display="5- øPolia Motora/Movida"/>
    <hyperlink ref="B30" r:id="rId8" display="15-Largura da Polia"/>
    <hyperlink ref="E11:F11" r:id="rId9" display="Pot. Util Sistema"/>
  </hyperlinks>
  <pageMargins left="0.7" right="0.7" top="0.75" bottom="0.75" header="0.3" footer="0.3"/>
  <pageSetup paperSize="9" orientation="portrait" r:id="rId10"/>
  <drawing r:id="rId11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correias</vt:lpstr>
      <vt:lpstr>correias!Fator_serviço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Usuário do Windows</cp:lastModifiedBy>
  <dcterms:created xsi:type="dcterms:W3CDTF">2018-12-24T20:41:15Z</dcterms:created>
  <dcterms:modified xsi:type="dcterms:W3CDTF">2022-02-08T01:26:20Z</dcterms:modified>
</cp:coreProperties>
</file>