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F02EF244-32F4-460B-A077-9A29E0425CDC}" xr6:coauthVersionLast="36" xr6:coauthVersionMax="36" xr10:uidLastSave="{00000000-0000-0000-0000-000000000000}"/>
  <bookViews>
    <workbookView xWindow="0" yWindow="120" windowWidth="19440" windowHeight="7530" activeTab="1" xr2:uid="{00000000-000D-0000-FFFF-FFFF00000000}"/>
  </bookViews>
  <sheets>
    <sheet name="ROG" sheetId="9" r:id="rId1"/>
    <sheet name="ROG AUTO" sheetId="10" r:id="rId2"/>
    <sheet name="MTTR_MTBF" sheetId="11" r:id="rId3"/>
    <sheet name="MTTR_MTBF AUTO" sheetId="12" r:id="rId4"/>
    <sheet name="Historico" sheetId="1" r:id="rId5"/>
    <sheet name="Backlog" sheetId="2" r:id="rId6"/>
    <sheet name="ABC" sheetId="5" r:id="rId7"/>
    <sheet name="FÓRMULAS - ROG" sheetId="6" r:id="rId8"/>
    <sheet name="ESTOQUE" sheetId="7" r:id="rId9"/>
    <sheet name="FMEA FORM" sheetId="8" r:id="rId10"/>
  </sheets>
  <definedNames>
    <definedName name="_xlnm.Print_Area" localSheetId="9">'FMEA FORM'!$B$3:$S$35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2" l="1"/>
  <c r="P4" i="12"/>
  <c r="P5" i="12"/>
  <c r="P6" i="12"/>
  <c r="P14" i="12" s="1"/>
  <c r="D10" i="12" s="1"/>
  <c r="P7" i="12"/>
  <c r="P8" i="12"/>
  <c r="P9" i="12"/>
  <c r="P10" i="12"/>
  <c r="P11" i="12"/>
  <c r="P12" i="12"/>
  <c r="N14" i="12"/>
  <c r="D9" i="12"/>
  <c r="H10" i="12" s="1"/>
  <c r="L8" i="12"/>
  <c r="K5" i="12"/>
  <c r="G5" i="12"/>
  <c r="E18" i="11"/>
  <c r="F19" i="11"/>
  <c r="M14" i="11"/>
  <c r="E14" i="11"/>
  <c r="O12" i="11"/>
  <c r="O11" i="11"/>
  <c r="O10" i="11"/>
  <c r="E10" i="11"/>
  <c r="O9" i="11"/>
  <c r="O8" i="11"/>
  <c r="K8" i="11"/>
  <c r="O7" i="11"/>
  <c r="O6" i="11"/>
  <c r="O5" i="11"/>
  <c r="O14" i="11" s="1"/>
  <c r="J5" i="11"/>
  <c r="E5" i="11"/>
  <c r="O4" i="11"/>
  <c r="O3" i="11"/>
  <c r="O16" i="10"/>
  <c r="N16" i="10"/>
  <c r="M16" i="10"/>
  <c r="L16" i="10"/>
  <c r="E13" i="10" s="1"/>
  <c r="O20" i="10" s="1"/>
  <c r="R13" i="10"/>
  <c r="Q13" i="10"/>
  <c r="E7" i="10"/>
  <c r="H21" i="10" s="1"/>
  <c r="G21" i="10" s="1"/>
  <c r="H13" i="10"/>
  <c r="N12" i="10"/>
  <c r="M12" i="10"/>
  <c r="H9" i="10"/>
  <c r="N8" i="10"/>
  <c r="E8" i="10"/>
  <c r="J9" i="10"/>
  <c r="M5" i="10"/>
  <c r="I5" i="10"/>
  <c r="H5" i="10"/>
  <c r="G5" i="10"/>
  <c r="L20" i="9"/>
  <c r="M21" i="9" s="1"/>
  <c r="G17" i="9"/>
  <c r="L16" i="9"/>
  <c r="G13" i="9"/>
  <c r="L12" i="9"/>
  <c r="G9" i="9"/>
  <c r="N8" i="9"/>
  <c r="M5" i="9"/>
  <c r="G5" i="9"/>
  <c r="I13" i="10"/>
  <c r="G13" i="10"/>
  <c r="E5" i="10"/>
  <c r="I17" i="10" s="1"/>
  <c r="I21" i="10"/>
  <c r="N11" i="1"/>
  <c r="N6" i="1"/>
  <c r="O6" i="1"/>
  <c r="N33" i="1"/>
  <c r="O33" i="1" s="1"/>
  <c r="O35" i="1" s="1"/>
  <c r="N37" i="1" s="1"/>
  <c r="N39" i="1" s="1"/>
  <c r="N24" i="1"/>
  <c r="O24" i="1" s="1"/>
  <c r="N15" i="1"/>
  <c r="O15" i="1" s="1"/>
  <c r="O17" i="1" s="1"/>
  <c r="N19" i="1" s="1"/>
  <c r="N21" i="1" s="1"/>
  <c r="N38" i="1"/>
  <c r="N29" i="1"/>
  <c r="N20" i="1"/>
  <c r="H14" i="6"/>
  <c r="K15" i="7"/>
  <c r="F15" i="7"/>
  <c r="D15" i="7"/>
  <c r="G15" i="7" s="1"/>
  <c r="K14" i="7"/>
  <c r="F14" i="7"/>
  <c r="D14" i="7"/>
  <c r="E14" i="7"/>
  <c r="G14" i="7"/>
  <c r="K13" i="7"/>
  <c r="F13" i="7"/>
  <c r="D13" i="7"/>
  <c r="G13" i="7" s="1"/>
  <c r="K12" i="7"/>
  <c r="F12" i="7"/>
  <c r="D12" i="7"/>
  <c r="G12" i="7" s="1"/>
  <c r="E12" i="7"/>
  <c r="K11" i="7"/>
  <c r="D11" i="7"/>
  <c r="G11" i="7" s="1"/>
  <c r="F11" i="7"/>
  <c r="E11" i="7"/>
  <c r="K10" i="7"/>
  <c r="F10" i="7"/>
  <c r="D10" i="7"/>
  <c r="G10" i="7"/>
  <c r="E13" i="7"/>
  <c r="E10" i="7"/>
  <c r="E15" i="7"/>
  <c r="O6" i="5"/>
  <c r="O5" i="5"/>
  <c r="M4" i="5"/>
  <c r="M5" i="5"/>
  <c r="N6" i="5"/>
  <c r="O4" i="5" s="1"/>
  <c r="M6" i="5"/>
  <c r="Q4" i="5"/>
  <c r="Q5" i="5"/>
  <c r="Q6" i="5"/>
  <c r="E4" i="5"/>
  <c r="E7" i="5"/>
  <c r="E11" i="5"/>
  <c r="E6" i="5"/>
  <c r="E10" i="5"/>
  <c r="E5" i="5"/>
  <c r="E14" i="5" s="1"/>
  <c r="E13" i="5"/>
  <c r="G13" i="5" s="1"/>
  <c r="E12" i="5"/>
  <c r="G12" i="5" s="1"/>
  <c r="E8" i="5"/>
  <c r="E9" i="5"/>
  <c r="K30" i="1"/>
  <c r="K31" i="1" s="1"/>
  <c r="O25" i="1" s="1"/>
  <c r="N27" i="1" s="1"/>
  <c r="K39" i="1"/>
  <c r="K40" i="1"/>
  <c r="O34" i="1"/>
  <c r="N36" i="1"/>
  <c r="J39" i="1"/>
  <c r="J40" i="1" s="1"/>
  <c r="I39" i="1"/>
  <c r="I40" i="1" s="1"/>
  <c r="J30" i="1"/>
  <c r="J31" i="1"/>
  <c r="I30" i="1"/>
  <c r="I31" i="1"/>
  <c r="K21" i="1"/>
  <c r="K22" i="1" s="1"/>
  <c r="O16" i="1" s="1"/>
  <c r="N18" i="1" s="1"/>
  <c r="J21" i="1"/>
  <c r="J22" i="1"/>
  <c r="I21" i="1"/>
  <c r="I22" i="1"/>
  <c r="J12" i="1"/>
  <c r="J13" i="1" s="1"/>
  <c r="K12" i="1"/>
  <c r="K13" i="1" s="1"/>
  <c r="O7" i="1" s="1"/>
  <c r="I12" i="1"/>
  <c r="I13" i="1"/>
  <c r="F5" i="2"/>
  <c r="F7" i="2"/>
  <c r="G14" i="2"/>
  <c r="F16" i="2"/>
  <c r="F17" i="2"/>
  <c r="G17" i="2" s="1"/>
  <c r="M13" i="6"/>
  <c r="M24" i="6" s="1"/>
  <c r="I18" i="6" s="1"/>
  <c r="M21" i="6"/>
  <c r="M20" i="6"/>
  <c r="M22" i="6"/>
  <c r="M18" i="6"/>
  <c r="M19" i="6"/>
  <c r="M17" i="6"/>
  <c r="K24" i="6"/>
  <c r="I21" i="6" s="1"/>
  <c r="I24" i="6" s="1"/>
  <c r="M14" i="6"/>
  <c r="M15" i="6"/>
  <c r="M16" i="6"/>
  <c r="F33" i="6"/>
  <c r="C11" i="6"/>
  <c r="D11" i="6"/>
  <c r="B14" i="6"/>
  <c r="C17" i="6" s="1"/>
  <c r="B17" i="6" s="1"/>
  <c r="C20" i="6"/>
  <c r="D20" i="6"/>
  <c r="B20" i="6" s="1"/>
  <c r="D17" i="6" s="1"/>
  <c r="C26" i="6"/>
  <c r="E26" i="6"/>
  <c r="B26" i="6"/>
  <c r="E29" i="6" s="1"/>
  <c r="B11" i="6"/>
  <c r="G16" i="2"/>
  <c r="F18" i="2"/>
  <c r="G18" i="2" s="1"/>
  <c r="E23" i="6"/>
  <c r="B23" i="6"/>
  <c r="D29" i="6" s="1"/>
  <c r="B29" i="6" l="1"/>
  <c r="C29" i="6"/>
  <c r="G10" i="12"/>
  <c r="F10" i="12" s="1"/>
  <c r="D7" i="12" s="1"/>
  <c r="I18" i="12" s="1"/>
  <c r="H5" i="12"/>
  <c r="F5" i="12" s="1"/>
  <c r="D5" i="12" s="1"/>
  <c r="G14" i="12" s="1"/>
  <c r="O26" i="1"/>
  <c r="N28" i="1" s="1"/>
  <c r="N30" i="1" s="1"/>
  <c r="G9" i="5"/>
  <c r="G8" i="5"/>
  <c r="G7" i="5"/>
  <c r="G4" i="5"/>
  <c r="G10" i="5"/>
  <c r="G6" i="5"/>
  <c r="G11" i="5"/>
  <c r="G18" i="6"/>
  <c r="H21" i="6" s="1"/>
  <c r="G21" i="6" s="1"/>
  <c r="H24" i="6"/>
  <c r="G24" i="6" s="1"/>
  <c r="J27" i="6" s="1"/>
  <c r="N9" i="1"/>
  <c r="O8" i="1"/>
  <c r="N10" i="1" s="1"/>
  <c r="G5" i="5"/>
  <c r="F23" i="6"/>
  <c r="F19" i="2"/>
  <c r="H14" i="12"/>
  <c r="I9" i="10"/>
  <c r="G9" i="10" s="1"/>
  <c r="E3" i="10" s="1"/>
  <c r="H17" i="10" l="1"/>
  <c r="G17" i="10" s="1"/>
  <c r="E11" i="10" s="1"/>
  <c r="M20" i="10" s="1"/>
  <c r="L20" i="10" s="1"/>
  <c r="O12" i="10"/>
  <c r="L12" i="10" s="1"/>
  <c r="E12" i="10" s="1"/>
  <c r="N20" i="10" s="1"/>
  <c r="H27" i="6"/>
  <c r="I27" i="6"/>
  <c r="F20" i="2"/>
  <c r="G19" i="2"/>
  <c r="F14" i="12"/>
  <c r="D8" i="12" s="1"/>
  <c r="G14" i="5"/>
  <c r="I4" i="5"/>
  <c r="N12" i="1"/>
  <c r="I5" i="5" l="1"/>
  <c r="J4" i="5"/>
  <c r="H18" i="12"/>
  <c r="G18" i="12"/>
  <c r="G20" i="2"/>
  <c r="F21" i="2"/>
  <c r="G27" i="6"/>
  <c r="E10" i="10"/>
  <c r="M21" i="10"/>
  <c r="F18" i="12" l="1"/>
  <c r="G21" i="2"/>
  <c r="F22" i="2"/>
  <c r="I6" i="5"/>
  <c r="J5" i="5"/>
  <c r="J6" i="5" l="1"/>
  <c r="I7" i="5"/>
  <c r="F23" i="2"/>
  <c r="G22" i="2"/>
  <c r="G19" i="12"/>
  <c r="D6" i="12"/>
  <c r="J7" i="5" l="1"/>
  <c r="I8" i="5"/>
  <c r="G23" i="2"/>
  <c r="F24" i="2"/>
  <c r="G24" i="2" l="1"/>
  <c r="F25" i="2"/>
  <c r="J8" i="5"/>
  <c r="I9" i="5"/>
  <c r="I10" i="5" l="1"/>
  <c r="J9" i="5"/>
  <c r="G25" i="2"/>
  <c r="F26" i="2"/>
  <c r="I11" i="5" l="1"/>
  <c r="J10" i="5"/>
  <c r="F27" i="2"/>
  <c r="G26" i="2"/>
  <c r="I12" i="5" l="1"/>
  <c r="J11" i="5"/>
  <c r="G27" i="2"/>
  <c r="F28" i="2"/>
  <c r="G28" i="2" l="1"/>
  <c r="F29" i="2"/>
  <c r="I13" i="5"/>
  <c r="J13" i="5" s="1"/>
  <c r="J12" i="5"/>
  <c r="P4" i="5" s="1"/>
  <c r="P5" i="5" l="1"/>
  <c r="R6" i="5"/>
  <c r="R5" i="5"/>
  <c r="R4" i="5"/>
  <c r="P6" i="5"/>
  <c r="G29" i="2"/>
  <c r="F30" i="2"/>
  <c r="F31" i="2" l="1"/>
  <c r="G30" i="2"/>
  <c r="G31" i="2" l="1"/>
  <c r="F32" i="2"/>
  <c r="G32" i="2" s="1"/>
</calcChain>
</file>

<file path=xl/sharedStrings.xml><?xml version="1.0" encoding="utf-8"?>
<sst xmlns="http://schemas.openxmlformats.org/spreadsheetml/2006/main" count="606" uniqueCount="312">
  <si>
    <t>LEGENDA</t>
  </si>
  <si>
    <t>FORMULÁRIO</t>
  </si>
  <si>
    <t>DADOS</t>
  </si>
  <si>
    <t>TO = Tempo Operacional</t>
  </si>
  <si>
    <t>TO=TT-STP</t>
  </si>
  <si>
    <t>TO=TT-TIP-TINP</t>
  </si>
  <si>
    <t>CONVERSOR</t>
  </si>
  <si>
    <t>TD = Tempo Disponível</t>
  </si>
  <si>
    <t>TO=</t>
  </si>
  <si>
    <t xml:space="preserve">TT - </t>
  </si>
  <si>
    <t>STP</t>
  </si>
  <si>
    <t>HORA</t>
  </si>
  <si>
    <t>MINUTO</t>
  </si>
  <si>
    <t>TTD = Tempo Liquido Disponível</t>
  </si>
  <si>
    <t>TTD=TT-TIP</t>
  </si>
  <si>
    <t>TT = Tempo Total</t>
  </si>
  <si>
    <t>TIP= Tempo Inoperante Planejado</t>
  </si>
  <si>
    <t>Hora</t>
  </si>
  <si>
    <t>Minuto</t>
  </si>
  <si>
    <t>Conversão</t>
  </si>
  <si>
    <t>TINP= Tempo Inoperante Não Planejado</t>
  </si>
  <si>
    <t>TO =</t>
  </si>
  <si>
    <t>TIP -</t>
  </si>
  <si>
    <t>TINP</t>
  </si>
  <si>
    <t>STP = Somatoria dos Tempos de Parada</t>
  </si>
  <si>
    <t>ROG = Rendimento Operacional Global</t>
  </si>
  <si>
    <t>ROG=ID*IE*IQ*100</t>
  </si>
  <si>
    <t>IE=(TPP*TP)/TO</t>
  </si>
  <si>
    <t>ID = Índice de Disponibilidade</t>
  </si>
  <si>
    <t>ID=TO/TTD</t>
  </si>
  <si>
    <t xml:space="preserve">IE = </t>
  </si>
  <si>
    <t>(TPP X</t>
  </si>
  <si>
    <t>TP) /</t>
  </si>
  <si>
    <t>TO</t>
  </si>
  <si>
    <t>IE = Índice de Eficiência</t>
  </si>
  <si>
    <t>IE=PR/PT</t>
  </si>
  <si>
    <t xml:space="preserve">TTD = </t>
  </si>
  <si>
    <t>TT -</t>
  </si>
  <si>
    <t>TIP</t>
  </si>
  <si>
    <t>IQ = Índice de Qualidade</t>
  </si>
  <si>
    <t>IQ=(TPP-TPD)/TPP</t>
  </si>
  <si>
    <t>PT = Produção Teórica</t>
  </si>
  <si>
    <t>PR = Produção Real</t>
  </si>
  <si>
    <t>IQ =</t>
  </si>
  <si>
    <t>(TPP -</t>
  </si>
  <si>
    <t>TPD) /</t>
  </si>
  <si>
    <t>TPP</t>
  </si>
  <si>
    <t>TPP =  Total de Peças Produzidas</t>
  </si>
  <si>
    <t xml:space="preserve">ID = </t>
  </si>
  <si>
    <t>TO /</t>
  </si>
  <si>
    <t>TTD</t>
  </si>
  <si>
    <t>TP = Tempo Padrão</t>
  </si>
  <si>
    <t>TPD = Total de Defeitos</t>
  </si>
  <si>
    <t xml:space="preserve">ROG = </t>
  </si>
  <si>
    <t>ID X</t>
  </si>
  <si>
    <t>IE X</t>
  </si>
  <si>
    <t xml:space="preserve">IQ X </t>
  </si>
  <si>
    <t xml:space="preserve">ROG % = </t>
  </si>
  <si>
    <t>STP = TIP+TINP</t>
  </si>
  <si>
    <t>STP=TIP+TINP</t>
  </si>
  <si>
    <t>TIP +</t>
  </si>
  <si>
    <t>PARADAS</t>
  </si>
  <si>
    <t>HORAS</t>
  </si>
  <si>
    <t>TOTAL</t>
  </si>
  <si>
    <t>TO=TT-TR</t>
  </si>
  <si>
    <t>D = Disponibilidade</t>
  </si>
  <si>
    <t xml:space="preserve">D= (MTBF/(MTBF + MTTR))*100
</t>
  </si>
  <si>
    <t>TR</t>
  </si>
  <si>
    <t>MTTR = Tempo Médio Para Reparo</t>
  </si>
  <si>
    <t>MTTR = TR/Nº Paradas</t>
  </si>
  <si>
    <t>MTBF = Tempo Médio Entre as Falhas</t>
  </si>
  <si>
    <t>MTBF = TO/Nº Paradas</t>
  </si>
  <si>
    <t>F ou X = Número de Paradas</t>
  </si>
  <si>
    <t>TR = Tempo de Reparo</t>
  </si>
  <si>
    <t>MTTR = TR/Nº Paradas (X ou F)</t>
  </si>
  <si>
    <t xml:space="preserve">MTTR = </t>
  </si>
  <si>
    <t>TR /</t>
  </si>
  <si>
    <t>F</t>
  </si>
  <si>
    <t>MTBF = TO/Nº Paradas (X ou F)</t>
  </si>
  <si>
    <t>100 (%)</t>
  </si>
  <si>
    <t xml:space="preserve">MTBF = </t>
  </si>
  <si>
    <t>X ou F</t>
  </si>
  <si>
    <t>D =</t>
  </si>
  <si>
    <t>(MTBF /</t>
  </si>
  <si>
    <t>(MTBF +</t>
  </si>
  <si>
    <t>MTTR)) x</t>
  </si>
  <si>
    <t>D % =</t>
  </si>
  <si>
    <t>HISTÓRICO DE MANUTENÇÃO</t>
  </si>
  <si>
    <t>TURNO</t>
  </si>
  <si>
    <t>h</t>
  </si>
  <si>
    <t>CICLO</t>
  </si>
  <si>
    <t>Dias</t>
  </si>
  <si>
    <t>COMPRESSOR DE PISTÃO  -  MARCA/MODELO</t>
  </si>
  <si>
    <t>OS</t>
  </si>
  <si>
    <t>Motivo da parada</t>
  </si>
  <si>
    <t>solução</t>
  </si>
  <si>
    <t>Tempo de espera</t>
  </si>
  <si>
    <t>tempo de serviço</t>
  </si>
  <si>
    <t>tempo total da parada</t>
  </si>
  <si>
    <t>TT</t>
  </si>
  <si>
    <t>min</t>
  </si>
  <si>
    <t>Baixa compressão</t>
  </si>
  <si>
    <t>Tensionamento das correias</t>
  </si>
  <si>
    <t>20min</t>
  </si>
  <si>
    <t>40min</t>
  </si>
  <si>
    <t>1h</t>
  </si>
  <si>
    <t>Quebra de correia</t>
  </si>
  <si>
    <t>Troca de correia</t>
  </si>
  <si>
    <t>15min</t>
  </si>
  <si>
    <t>1h 15min</t>
  </si>
  <si>
    <t>Falta de pressão</t>
  </si>
  <si>
    <t>Limpeza da válvula de admissão</t>
  </si>
  <si>
    <t>25min</t>
  </si>
  <si>
    <t>1h 30min</t>
  </si>
  <si>
    <t>1h 55min</t>
  </si>
  <si>
    <t>MTTR =</t>
  </si>
  <si>
    <t>Aquecimento</t>
  </si>
  <si>
    <t>Completar nível de óleo lubrificante</t>
  </si>
  <si>
    <t>10min</t>
  </si>
  <si>
    <t>30min</t>
  </si>
  <si>
    <t>MTBF =</t>
  </si>
  <si>
    <t>Vazamento de óleo lubrificante</t>
  </si>
  <si>
    <t>Troca de retentor</t>
  </si>
  <si>
    <t>1h 45min</t>
  </si>
  <si>
    <t>X =</t>
  </si>
  <si>
    <t>REDUTOR DE VELOCIDADES - MARCA-MODELO</t>
  </si>
  <si>
    <t>Quebra do eixo de saída</t>
  </si>
  <si>
    <t>Substituição do eixo</t>
  </si>
  <si>
    <t>35min</t>
  </si>
  <si>
    <t>2h</t>
  </si>
  <si>
    <t>2h 35min</t>
  </si>
  <si>
    <t>45min</t>
  </si>
  <si>
    <t>Ruído excessivo</t>
  </si>
  <si>
    <t>Troca do conjunto de engrenagens</t>
  </si>
  <si>
    <t>3h</t>
  </si>
  <si>
    <t>3h 20min</t>
  </si>
  <si>
    <t>Transmissão intermitente</t>
  </si>
  <si>
    <t>Recuperação da base de fixação</t>
  </si>
  <si>
    <t>1h 20min</t>
  </si>
  <si>
    <t>13min</t>
  </si>
  <si>
    <t>1h 43min</t>
  </si>
  <si>
    <t>BOMBA CENTRÍFUGA - MARCA-MODELO</t>
  </si>
  <si>
    <t>Substituição dos rolamentos</t>
  </si>
  <si>
    <t>1h 10min</t>
  </si>
  <si>
    <t>Vazamento de água</t>
  </si>
  <si>
    <t>Substituição das gaxetas</t>
  </si>
  <si>
    <t>5min</t>
  </si>
  <si>
    <t>1h 5min</t>
  </si>
  <si>
    <t>Falta de fluxo</t>
  </si>
  <si>
    <t>Escorva da bomba</t>
  </si>
  <si>
    <t>12min</t>
  </si>
  <si>
    <t>27min</t>
  </si>
  <si>
    <t>Excesso de vibração</t>
  </si>
  <si>
    <t>Substituição do acoplamento</t>
  </si>
  <si>
    <t>11min</t>
  </si>
  <si>
    <t>41min</t>
  </si>
  <si>
    <t>Alto consumo de energia</t>
  </si>
  <si>
    <t>Alinhamento rotativo do equipamento</t>
  </si>
  <si>
    <t>17min</t>
  </si>
  <si>
    <t>1h 47min</t>
  </si>
  <si>
    <t>TORNO MECÂNICO - MARCA-MODELO</t>
  </si>
  <si>
    <t xml:space="preserve">Falha no automático </t>
  </si>
  <si>
    <t>Substituição do pino de segurança</t>
  </si>
  <si>
    <t>23min</t>
  </si>
  <si>
    <t>55min</t>
  </si>
  <si>
    <t>1h 18min</t>
  </si>
  <si>
    <t>Cabeçote móvel travado</t>
  </si>
  <si>
    <t>Substituição da bucha roscada</t>
  </si>
  <si>
    <t>8min</t>
  </si>
  <si>
    <t>43min</t>
  </si>
  <si>
    <t>51min</t>
  </si>
  <si>
    <t>Freio não funciona</t>
  </si>
  <si>
    <t>Sangrar o sistema de freio</t>
  </si>
  <si>
    <t>47min</t>
  </si>
  <si>
    <t>Troca dos rolamentos do eixo-árvore</t>
  </si>
  <si>
    <t>4h</t>
  </si>
  <si>
    <t>4h 8min</t>
  </si>
  <si>
    <t>parafusos espanados no carro sup.</t>
  </si>
  <si>
    <t>Substituição dos parafusos</t>
  </si>
  <si>
    <t>14min</t>
  </si>
  <si>
    <t>1h 14min</t>
  </si>
  <si>
    <t>Equipe de manutenção: 8 funcionários</t>
  </si>
  <si>
    <t xml:space="preserve">Turno: 8 horas/dia. </t>
  </si>
  <si>
    <t>Equipe: 8 funcionários x 8h= 64 h.hora/dia</t>
  </si>
  <si>
    <t>ROG pessoal; 55%</t>
  </si>
  <si>
    <t>64 h.hora x 0,55= 35,2; aprox. 36 h.hora/dia</t>
  </si>
  <si>
    <t>Calcular backlog de 15 dias</t>
  </si>
  <si>
    <t>Elaborar e analisar gráfico de backlog.</t>
  </si>
  <si>
    <t>Tabela de Backlog para 8 funcionários                   36 homens-hora produtivos</t>
  </si>
  <si>
    <t>Mês anterior</t>
  </si>
  <si>
    <t>Dia</t>
  </si>
  <si>
    <t>Abertas</t>
  </si>
  <si>
    <t>Executadas</t>
  </si>
  <si>
    <t>Pendentes</t>
  </si>
  <si>
    <t>BACKLOG</t>
  </si>
  <si>
    <t>Estável</t>
  </si>
  <si>
    <t>Crescente</t>
  </si>
  <si>
    <t>Decrescente</t>
  </si>
  <si>
    <t>Aument. Brusco</t>
  </si>
  <si>
    <t>Queda Brusca</t>
  </si>
  <si>
    <t>Oscilação Cíclica</t>
  </si>
  <si>
    <t>DADOS À ORGANIZAR</t>
  </si>
  <si>
    <t>DIGITE VALOR DE CORTE</t>
  </si>
  <si>
    <t>Código</t>
  </si>
  <si>
    <t>QT</t>
  </si>
  <si>
    <t>CUSTO UNIT.</t>
  </si>
  <si>
    <t>VALOR TOTAL</t>
  </si>
  <si>
    <t>PORC. %</t>
  </si>
  <si>
    <t>ACUM.</t>
  </si>
  <si>
    <t>CLASS.</t>
  </si>
  <si>
    <t>CLASSE</t>
  </si>
  <si>
    <t>A</t>
  </si>
  <si>
    <t>B</t>
  </si>
  <si>
    <t>C</t>
  </si>
  <si>
    <t>Valor %</t>
  </si>
  <si>
    <t>% Itens</t>
  </si>
  <si>
    <t xml:space="preserve">Valor R$ </t>
  </si>
  <si>
    <t>TOTAL =</t>
  </si>
  <si>
    <t>INDICE DE DISPONIBILIDADE</t>
  </si>
  <si>
    <t>Tempo Total Disponível</t>
  </si>
  <si>
    <t xml:space="preserve">OEE: (Overall Equipment Effectiveness) </t>
  </si>
  <si>
    <t>OEE=ID*IE*IQ*100</t>
  </si>
  <si>
    <t>Tempo de Operação</t>
  </si>
  <si>
    <t>ÍNDICE de QUALIDADE</t>
  </si>
  <si>
    <t>DISPONIBILIDADE</t>
  </si>
  <si>
    <t>IQ=(TPP-TD)/TPP</t>
  </si>
  <si>
    <t xml:space="preserve">D= (MTBF/MTBF + MTTR)*100
</t>
  </si>
  <si>
    <t xml:space="preserve">ÍNDICE de EFICIÊNCIA ou PERFORMANCE </t>
  </si>
  <si>
    <t>TT (min)</t>
  </si>
  <si>
    <t>STP (min)</t>
  </si>
  <si>
    <t>TIP (min)</t>
  </si>
  <si>
    <t>TINP (min)</t>
  </si>
  <si>
    <t>HORA (dec)</t>
  </si>
  <si>
    <t>ID=TO/TTD (%)</t>
  </si>
  <si>
    <t>TTD =</t>
  </si>
  <si>
    <t>X</t>
  </si>
  <si>
    <t>IE=(TPP*TP)/TO (%)</t>
  </si>
  <si>
    <t>TP)</t>
  </si>
  <si>
    <t>/  TO</t>
  </si>
  <si>
    <t>IQ=(TPP-TD)/TPP (%)</t>
  </si>
  <si>
    <t xml:space="preserve">IQ = </t>
  </si>
  <si>
    <t>(TPP  -</t>
  </si>
  <si>
    <t>TD)</t>
  </si>
  <si>
    <t>/ TPP</t>
  </si>
  <si>
    <t xml:space="preserve">D= MTBF/(MTBF + MTTR) (%)
</t>
  </si>
  <si>
    <t xml:space="preserve">D = </t>
  </si>
  <si>
    <t>MTBF /</t>
  </si>
  <si>
    <t>( MTBF  +</t>
  </si>
  <si>
    <t>MTTR)</t>
  </si>
  <si>
    <t>OEE=ID*IE*IQ (%)</t>
  </si>
  <si>
    <t>OEE =</t>
  </si>
  <si>
    <t xml:space="preserve">IE X </t>
  </si>
  <si>
    <t>IQ</t>
  </si>
  <si>
    <t>qt</t>
  </si>
  <si>
    <t>ESTOQUE MÍNIMO = L</t>
  </si>
  <si>
    <t>Consumo Médio</t>
  </si>
  <si>
    <t>L = C x T + E s</t>
  </si>
  <si>
    <t>T</t>
  </si>
  <si>
    <t>Prazo de Entrega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</si>
  <si>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C x T + F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  <r>
      <rPr>
        <b/>
        <sz val="11"/>
        <color theme="1"/>
        <rFont val="Calibri"/>
        <family val="2"/>
        <scheme val="minor"/>
      </rPr>
      <t>x E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</si>
  <si>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</si>
  <si>
    <t>Estoque Segurança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</si>
  <si>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C x T</t>
    </r>
  </si>
  <si>
    <r>
      <t>Q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</si>
  <si>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t>Pedido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</si>
  <si>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=  C x F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</si>
  <si>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0</t>
    </r>
  </si>
  <si>
    <t>Primeiro Pedido</t>
  </si>
  <si>
    <r>
      <t>L ou E</t>
    </r>
    <r>
      <rPr>
        <vertAlign val="subscript"/>
        <sz val="11"/>
        <color theme="1"/>
        <rFont val="Calibri"/>
        <family val="2"/>
        <scheme val="minor"/>
      </rPr>
      <t>m</t>
    </r>
  </si>
  <si>
    <t>Estoque Mínimo</t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</si>
  <si>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</si>
  <si>
    <t>Fator de Segurança</t>
  </si>
  <si>
    <t>It</t>
  </si>
  <si>
    <t>E s</t>
  </si>
  <si>
    <t>Q0</t>
  </si>
  <si>
    <t>Q1</t>
  </si>
  <si>
    <t>L</t>
  </si>
  <si>
    <t>T (mês)</t>
  </si>
  <si>
    <t>Fa (mês)</t>
  </si>
  <si>
    <t>V unit</t>
  </si>
  <si>
    <t>Total</t>
  </si>
  <si>
    <t>D</t>
  </si>
  <si>
    <t>E</t>
  </si>
  <si>
    <t xml:space="preserve">                             FMEA - ANÁLISE DOS MODOS DE FALHAS E SEUS EFEITOS</t>
  </si>
  <si>
    <t>FMEA Nº</t>
  </si>
  <si>
    <t>FMEA: PROJETO/ PROCESSO</t>
  </si>
  <si>
    <t>ÁREAS ENVOLVIDAS:</t>
  </si>
  <si>
    <t xml:space="preserve">                                                                  </t>
  </si>
  <si>
    <t>APROVAÇÃO DO CLIENTE:</t>
  </si>
  <si>
    <t xml:space="preserve">                             </t>
  </si>
  <si>
    <t>ETAPA:</t>
  </si>
  <si>
    <t xml:space="preserve">       PÁGINA:</t>
  </si>
  <si>
    <t>PROCESSO/ PRODUTO:</t>
  </si>
  <si>
    <t>CLIENTE/ PROJETO:</t>
  </si>
  <si>
    <t>DATA 1ª EMISSÃO</t>
  </si>
  <si>
    <t>RESPONSÁVEL PROJETO/ MANUFATURA:</t>
  </si>
  <si>
    <t>EQUIPE:</t>
  </si>
  <si>
    <t>DATA REVISÃO:</t>
  </si>
  <si>
    <t>ITEM/ NOME/ COMPONENTE</t>
  </si>
  <si>
    <t>FUNÇÃO DO PROJETO/ PROCESSO</t>
  </si>
  <si>
    <t>MODO DE FALHA POTENCIAL</t>
  </si>
  <si>
    <t>EFEITO(S) DA FALHA EM PODENCIAL</t>
  </si>
  <si>
    <t>SEVERIDADE</t>
  </si>
  <si>
    <t>CAUSA(S) POTENCIAL DA FALHA</t>
  </si>
  <si>
    <t>OCORRÊNCIA</t>
  </si>
  <si>
    <t>CONTROLE ATUAL DE PREVENÇÃO</t>
  </si>
  <si>
    <t>CONTROLE ATUAL DE DETECÇÃO</t>
  </si>
  <si>
    <t>DETECÇÃO</t>
  </si>
  <si>
    <t>RISCO - NPR</t>
  </si>
  <si>
    <t>AÇÃO PREVENTIVA RECOMENDADA</t>
  </si>
  <si>
    <t>NOME DO RESPONS. E PRAZO</t>
  </si>
  <si>
    <t>AÇÃO TOMADA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</si>
</sst>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.000"/>
    <numFmt numFmtId="165" formatCode="_-[$R$-416]\ * #,##0.00_-;\-[$R$-416]\ * #,##0.00_-;_-[$R$-416]\ * &quot;-&quot;??_-;_-@_-"/>
    <numFmt numFmtId="166" formatCode="0.0%"/>
    <numFmt numFmtId="167" formatCode="[$-F400]h:mm:ss\ AM/PM"/>
    <numFmt numFmtId="168" formatCode="0.0"/>
    <numFmt numFmtId="169" formatCode="0.0000"/>
    <numFmt numFmtId="170" formatCode="h:mm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9" fillId="5" borderId="16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165" fontId="11" fillId="6" borderId="13" xfId="0" applyNumberFormat="1" applyFont="1" applyFill="1" applyBorder="1" applyAlignment="1">
      <alignment horizontal="center" vertical="center"/>
    </xf>
    <xf numFmtId="165" fontId="1" fillId="6" borderId="13" xfId="0" applyNumberFormat="1" applyFont="1" applyFill="1" applyBorder="1"/>
    <xf numFmtId="0" fontId="0" fillId="6" borderId="0" xfId="0" applyFill="1"/>
    <xf numFmtId="166" fontId="1" fillId="6" borderId="13" xfId="2" applyNumberFormat="1" applyFont="1" applyFill="1" applyBorder="1" applyAlignment="1">
      <alignment horizontal="center" vertical="center"/>
    </xf>
    <xf numFmtId="166" fontId="1" fillId="6" borderId="13" xfId="0" applyNumberFormat="1" applyFont="1" applyFill="1" applyBorder="1" applyAlignment="1">
      <alignment horizontal="center" vertical="center"/>
    </xf>
    <xf numFmtId="0" fontId="0" fillId="7" borderId="0" xfId="0" applyFill="1"/>
    <xf numFmtId="166" fontId="1" fillId="7" borderId="13" xfId="2" applyNumberFormat="1" applyFont="1" applyFill="1" applyBorder="1" applyAlignment="1">
      <alignment horizontal="center" vertical="center"/>
    </xf>
    <xf numFmtId="166" fontId="1" fillId="7" borderId="13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44" fontId="11" fillId="7" borderId="13" xfId="1" applyFont="1" applyFill="1" applyBorder="1" applyAlignment="1">
      <alignment horizontal="center" vertical="center"/>
    </xf>
    <xf numFmtId="165" fontId="1" fillId="7" borderId="13" xfId="0" applyNumberFormat="1" applyFont="1" applyFill="1" applyBorder="1"/>
    <xf numFmtId="44" fontId="11" fillId="7" borderId="17" xfId="1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right" vertical="center"/>
    </xf>
    <xf numFmtId="165" fontId="11" fillId="6" borderId="19" xfId="0" applyNumberFormat="1" applyFont="1" applyFill="1" applyBorder="1" applyAlignment="1">
      <alignment horizontal="left" vertical="center"/>
    </xf>
    <xf numFmtId="166" fontId="5" fillId="6" borderId="20" xfId="0" applyNumberFormat="1" applyFont="1" applyFill="1" applyBorder="1"/>
    <xf numFmtId="165" fontId="11" fillId="0" borderId="0" xfId="0" applyNumberFormat="1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8" borderId="13" xfId="0" applyFill="1" applyBorder="1" applyAlignment="1">
      <alignment horizontal="center" vertical="center"/>
    </xf>
    <xf numFmtId="167" fontId="0" fillId="2" borderId="13" xfId="0" applyNumberFormat="1" applyFill="1" applyBorder="1" applyAlignment="1">
      <alignment horizontal="center" vertical="center"/>
    </xf>
    <xf numFmtId="0" fontId="0" fillId="8" borderId="13" xfId="0" applyFill="1" applyBorder="1"/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0" fontId="0" fillId="8" borderId="13" xfId="2" applyNumberFormat="1" applyFont="1" applyFill="1" applyBorder="1"/>
    <xf numFmtId="10" fontId="0" fillId="8" borderId="13" xfId="0" applyNumberFormat="1" applyFill="1" applyBorder="1"/>
    <xf numFmtId="0" fontId="0" fillId="0" borderId="0" xfId="0" applyAlignment="1">
      <alignment horizontal="left" vertical="center"/>
    </xf>
    <xf numFmtId="0" fontId="0" fillId="8" borderId="13" xfId="0" applyFill="1" applyBorder="1" applyAlignment="1">
      <alignment horizontal="center"/>
    </xf>
    <xf numFmtId="168" fontId="0" fillId="8" borderId="13" xfId="0" applyNumberFormat="1" applyFill="1" applyBorder="1" applyAlignment="1">
      <alignment horizontal="center" vertical="center"/>
    </xf>
    <xf numFmtId="169" fontId="0" fillId="8" borderId="13" xfId="0" applyNumberForma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164" fontId="14" fillId="8" borderId="11" xfId="0" applyNumberFormat="1" applyFont="1" applyFill="1" applyBorder="1" applyAlignment="1">
      <alignment horizontal="center" vertical="center" wrapText="1"/>
    </xf>
    <xf numFmtId="168" fontId="0" fillId="8" borderId="13" xfId="0" applyNumberFormat="1" applyFill="1" applyBorder="1"/>
    <xf numFmtId="0" fontId="0" fillId="0" borderId="0" xfId="0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44" fontId="0" fillId="0" borderId="13" xfId="1" applyFont="1" applyBorder="1"/>
    <xf numFmtId="44" fontId="0" fillId="0" borderId="13" xfId="0" applyNumberFormat="1" applyBorder="1"/>
    <xf numFmtId="0" fontId="3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6" fillId="9" borderId="3" xfId="0" applyFont="1" applyFill="1" applyBorder="1" applyProtection="1">
      <protection hidden="1"/>
    </xf>
    <xf numFmtId="0" fontId="15" fillId="9" borderId="2" xfId="0" applyFont="1" applyFill="1" applyBorder="1" applyAlignment="1" applyProtection="1">
      <alignment horizontal="center" vertical="center"/>
      <protection locked="0"/>
    </xf>
    <xf numFmtId="0" fontId="15" fillId="9" borderId="2" xfId="0" applyFont="1" applyFill="1" applyBorder="1" applyAlignment="1" applyProtection="1">
      <alignment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Protection="1">
      <protection hidden="1"/>
    </xf>
    <xf numFmtId="0" fontId="16" fillId="9" borderId="0" xfId="0" applyFont="1" applyFill="1" applyProtection="1">
      <protection hidden="1"/>
    </xf>
    <xf numFmtId="0" fontId="15" fillId="9" borderId="0" xfId="0" applyFont="1" applyFill="1" applyBorder="1" applyProtection="1">
      <protection hidden="1"/>
    </xf>
    <xf numFmtId="0" fontId="16" fillId="9" borderId="0" xfId="0" applyFont="1" applyFill="1" applyBorder="1" applyProtection="1"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4" xfId="0" applyFont="1" applyFill="1" applyBorder="1" applyAlignment="1" applyProtection="1">
      <alignment horizontal="left"/>
      <protection hidden="1"/>
    </xf>
    <xf numFmtId="0" fontId="15" fillId="9" borderId="5" xfId="0" applyFont="1" applyFill="1" applyBorder="1" applyAlignment="1" applyProtection="1">
      <alignment horizontal="center"/>
      <protection hidden="1"/>
    </xf>
    <xf numFmtId="0" fontId="16" fillId="9" borderId="5" xfId="0" applyFont="1" applyFill="1" applyBorder="1" applyAlignment="1" applyProtection="1">
      <alignment horizontal="center"/>
      <protection hidden="1"/>
    </xf>
    <xf numFmtId="0" fontId="15" fillId="9" borderId="6" xfId="0" applyFont="1" applyFill="1" applyBorder="1" applyAlignment="1" applyProtection="1">
      <alignment horizontal="center"/>
      <protection hidden="1"/>
    </xf>
    <xf numFmtId="0" fontId="15" fillId="9" borderId="21" xfId="0" applyFont="1" applyFill="1" applyBorder="1" applyAlignment="1" applyProtection="1">
      <alignment horizontal="left"/>
      <protection hidden="1"/>
    </xf>
    <xf numFmtId="0" fontId="15" fillId="9" borderId="4" xfId="0" applyFont="1" applyFill="1" applyBorder="1" applyAlignment="1" applyProtection="1">
      <alignment horizontal="center"/>
      <protection hidden="1"/>
    </xf>
    <xf numFmtId="0" fontId="17" fillId="9" borderId="9" xfId="0" applyFont="1" applyFill="1" applyBorder="1" applyAlignment="1" applyProtection="1">
      <alignment horizontal="left"/>
      <protection locked="0"/>
    </xf>
    <xf numFmtId="0" fontId="17" fillId="9" borderId="7" xfId="0" applyFont="1" applyFill="1" applyBorder="1" applyProtection="1">
      <protection locked="0"/>
    </xf>
    <xf numFmtId="0" fontId="17" fillId="9" borderId="0" xfId="0" applyFont="1" applyFill="1" applyBorder="1" applyProtection="1">
      <protection locked="0"/>
    </xf>
    <xf numFmtId="0" fontId="18" fillId="9" borderId="0" xfId="0" applyFont="1" applyFill="1" applyBorder="1" applyProtection="1">
      <protection locked="0"/>
    </xf>
    <xf numFmtId="0" fontId="17" fillId="9" borderId="0" xfId="0" applyFont="1" applyFill="1" applyBorder="1" applyAlignment="1" applyProtection="1">
      <alignment horizontal="center"/>
      <protection locked="0"/>
    </xf>
    <xf numFmtId="0" fontId="17" fillId="9" borderId="11" xfId="0" applyFont="1" applyFill="1" applyBorder="1" applyProtection="1">
      <protection locked="0"/>
    </xf>
    <xf numFmtId="0" fontId="17" fillId="9" borderId="12" xfId="0" applyFont="1" applyFill="1" applyBorder="1" applyAlignment="1" applyProtection="1">
      <alignment horizontal="left"/>
      <protection locked="0"/>
    </xf>
    <xf numFmtId="0" fontId="17" fillId="9" borderId="9" xfId="0" applyFont="1" applyFill="1" applyBorder="1" applyProtection="1">
      <protection locked="0"/>
    </xf>
    <xf numFmtId="0" fontId="17" fillId="9" borderId="10" xfId="0" applyFont="1" applyFill="1" applyBorder="1" applyProtection="1">
      <protection locked="0"/>
    </xf>
    <xf numFmtId="0" fontId="17" fillId="9" borderId="11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Protection="1">
      <protection hidden="1"/>
    </xf>
    <xf numFmtId="0" fontId="16" fillId="9" borderId="5" xfId="0" applyFont="1" applyFill="1" applyBorder="1" applyProtection="1">
      <protection hidden="1"/>
    </xf>
    <xf numFmtId="0" fontId="15" fillId="9" borderId="6" xfId="0" applyFont="1" applyFill="1" applyBorder="1" applyProtection="1">
      <protection hidden="1"/>
    </xf>
    <xf numFmtId="0" fontId="18" fillId="9" borderId="10" xfId="0" applyFont="1" applyFill="1" applyBorder="1" applyProtection="1">
      <protection locked="0"/>
    </xf>
    <xf numFmtId="0" fontId="17" fillId="9" borderId="10" xfId="0" applyFont="1" applyFill="1" applyBorder="1" applyAlignment="1" applyProtection="1">
      <alignment horizontal="center"/>
      <protection locked="0"/>
    </xf>
    <xf numFmtId="14" fontId="17" fillId="9" borderId="0" xfId="0" applyNumberFormat="1" applyFont="1" applyFill="1" applyBorder="1" applyProtection="1">
      <protection locked="0"/>
    </xf>
    <xf numFmtId="0" fontId="17" fillId="9" borderId="8" xfId="0" applyFont="1" applyFill="1" applyBorder="1" applyAlignment="1" applyProtection="1">
      <alignment horizontal="center"/>
      <protection locked="0"/>
    </xf>
    <xf numFmtId="0" fontId="15" fillId="9" borderId="7" xfId="0" applyFont="1" applyFill="1" applyBorder="1" applyProtection="1"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15" fillId="9" borderId="8" xfId="0" applyFont="1" applyFill="1" applyBorder="1" applyProtection="1">
      <protection hidden="1"/>
    </xf>
    <xf numFmtId="0" fontId="17" fillId="9" borderId="22" xfId="0" applyFont="1" applyFill="1" applyBorder="1" applyAlignment="1" applyProtection="1">
      <alignment horizontal="left"/>
      <protection locked="0"/>
    </xf>
    <xf numFmtId="0" fontId="17" fillId="9" borderId="8" xfId="0" applyFont="1" applyFill="1" applyBorder="1" applyProtection="1">
      <protection locked="0"/>
    </xf>
    <xf numFmtId="14" fontId="17" fillId="9" borderId="7" xfId="0" applyNumberFormat="1" applyFont="1" applyFill="1" applyBorder="1" applyProtection="1">
      <protection locked="0"/>
    </xf>
    <xf numFmtId="0" fontId="15" fillId="9" borderId="0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Border="1" applyAlignment="1" applyProtection="1">
      <alignment horizontal="center" vertical="center" textRotation="90" wrapText="1"/>
      <protection hidden="1"/>
    </xf>
    <xf numFmtId="0" fontId="15" fillId="9" borderId="0" xfId="0" applyFont="1" applyFill="1" applyBorder="1" applyAlignment="1" applyProtection="1">
      <alignment horizontal="center" vertical="center" textRotation="90" wrapText="1"/>
      <protection hidden="1"/>
    </xf>
    <xf numFmtId="0" fontId="17" fillId="9" borderId="21" xfId="0" applyFont="1" applyFill="1" applyBorder="1" applyAlignment="1" applyProtection="1">
      <alignment vertical="center" wrapText="1"/>
      <protection locked="0"/>
    </xf>
    <xf numFmtId="0" fontId="17" fillId="9" borderId="24" xfId="0" applyFont="1" applyFill="1" applyBorder="1" applyAlignment="1" applyProtection="1">
      <alignment vertical="center" wrapText="1"/>
      <protection locked="0"/>
    </xf>
    <xf numFmtId="0" fontId="18" fillId="9" borderId="24" xfId="0" applyFont="1" applyFill="1" applyBorder="1" applyAlignment="1" applyProtection="1">
      <alignment horizontal="center" vertical="center" wrapText="1"/>
      <protection locked="0"/>
    </xf>
    <xf numFmtId="0" fontId="18" fillId="9" borderId="24" xfId="0" applyFont="1" applyFill="1" applyBorder="1" applyAlignment="1" applyProtection="1">
      <alignment horizontal="center" vertical="center" wrapText="1"/>
      <protection hidden="1"/>
    </xf>
    <xf numFmtId="0" fontId="17" fillId="9" borderId="22" xfId="0" applyFont="1" applyFill="1" applyBorder="1" applyAlignment="1" applyProtection="1">
      <alignment vertical="center" wrapText="1"/>
      <protection locked="0"/>
    </xf>
    <xf numFmtId="0" fontId="17" fillId="9" borderId="25" xfId="0" applyFont="1" applyFill="1" applyBorder="1" applyAlignment="1" applyProtection="1">
      <alignment vertical="center" wrapText="1"/>
      <protection locked="0"/>
    </xf>
    <xf numFmtId="0" fontId="18" fillId="9" borderId="25" xfId="0" applyFont="1" applyFill="1" applyBorder="1" applyAlignment="1" applyProtection="1">
      <alignment horizontal="center" vertical="center" wrapText="1"/>
      <protection locked="0"/>
    </xf>
    <xf numFmtId="0" fontId="18" fillId="9" borderId="25" xfId="0" applyFont="1" applyFill="1" applyBorder="1" applyAlignment="1" applyProtection="1">
      <alignment horizontal="center" vertical="center" wrapText="1"/>
      <protection hidden="1"/>
    </xf>
    <xf numFmtId="0" fontId="17" fillId="9" borderId="12" xfId="0" applyFont="1" applyFill="1" applyBorder="1" applyAlignment="1" applyProtection="1">
      <alignment vertical="center" wrapText="1"/>
      <protection locked="0"/>
    </xf>
    <xf numFmtId="0" fontId="18" fillId="9" borderId="26" xfId="0" applyFont="1" applyFill="1" applyBorder="1" applyAlignment="1" applyProtection="1">
      <alignment horizontal="center" vertical="center" wrapText="1"/>
      <protection locked="0"/>
    </xf>
    <xf numFmtId="0" fontId="18" fillId="9" borderId="26" xfId="0" applyFont="1" applyFill="1" applyBorder="1" applyAlignment="1" applyProtection="1">
      <alignment horizontal="center" vertical="center" wrapText="1"/>
      <protection hidden="1"/>
    </xf>
    <xf numFmtId="0" fontId="17" fillId="9" borderId="0" xfId="0" applyFont="1" applyFill="1" applyAlignment="1" applyProtection="1">
      <alignment vertical="center" wrapText="1"/>
      <protection hidden="1"/>
    </xf>
    <xf numFmtId="0" fontId="18" fillId="9" borderId="0" xfId="0" applyFont="1" applyFill="1" applyAlignment="1" applyProtection="1">
      <alignment vertical="center" wrapText="1"/>
      <protection hidden="1"/>
    </xf>
    <xf numFmtId="0" fontId="17" fillId="9" borderId="0" xfId="0" applyFont="1" applyFill="1" applyAlignment="1" applyProtection="1">
      <alignment horizontal="center" vertical="center" wrapText="1"/>
      <protection hidden="1"/>
    </xf>
    <xf numFmtId="0" fontId="18" fillId="9" borderId="0" xfId="0" applyFont="1" applyFill="1" applyAlignment="1" applyProtection="1">
      <alignment horizontal="center" vertical="center" wrapText="1"/>
      <protection hidden="1"/>
    </xf>
    <xf numFmtId="0" fontId="17" fillId="9" borderId="7" xfId="0" applyFont="1" applyFill="1" applyBorder="1" applyAlignment="1" applyProtection="1">
      <alignment horizontal="left"/>
      <protection locked="0"/>
    </xf>
    <xf numFmtId="0" fontId="15" fillId="9" borderId="7" xfId="0" applyFont="1" applyFill="1" applyBorder="1" applyAlignment="1" applyProtection="1">
      <alignment horizontal="center"/>
      <protection hidden="1"/>
    </xf>
    <xf numFmtId="0" fontId="20" fillId="9" borderId="4" xfId="0" applyFont="1" applyFill="1" applyBorder="1" applyAlignment="1" applyProtection="1">
      <alignment horizontal="left"/>
      <protection hidden="1"/>
    </xf>
    <xf numFmtId="0" fontId="21" fillId="9" borderId="23" xfId="0" applyFont="1" applyFill="1" applyBorder="1" applyAlignment="1" applyProtection="1">
      <alignment horizontal="center" vertical="center" wrapText="1"/>
      <protection hidden="1"/>
    </xf>
    <xf numFmtId="0" fontId="22" fillId="9" borderId="23" xfId="3" applyFont="1" applyFill="1" applyBorder="1" applyAlignment="1" applyProtection="1">
      <alignment horizontal="center" textRotation="90" wrapText="1"/>
      <protection hidden="1"/>
    </xf>
    <xf numFmtId="0" fontId="23" fillId="9" borderId="23" xfId="3" applyFont="1" applyFill="1" applyBorder="1" applyAlignment="1" applyProtection="1">
      <alignment horizontal="center" textRotation="90" wrapText="1"/>
      <protection hidden="1"/>
    </xf>
    <xf numFmtId="0" fontId="24" fillId="9" borderId="2" xfId="0" applyFont="1" applyFill="1" applyBorder="1" applyAlignment="1" applyProtection="1">
      <alignment horizontal="right" vertical="center"/>
      <protection hidden="1"/>
    </xf>
    <xf numFmtId="0" fontId="15" fillId="9" borderId="21" xfId="0" applyFont="1" applyFill="1" applyBorder="1" applyAlignment="1" applyProtection="1">
      <alignment horizontal="left" vertical="top"/>
      <protection hidden="1"/>
    </xf>
    <xf numFmtId="0" fontId="1" fillId="0" borderId="13" xfId="0" applyFont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170" fontId="0" fillId="0" borderId="7" xfId="0" applyNumberForma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170" fontId="0" fillId="0" borderId="0" xfId="0" applyNumberFormat="1"/>
    <xf numFmtId="170" fontId="0" fillId="0" borderId="4" xfId="0" applyNumberFormat="1" applyBorder="1" applyAlignment="1">
      <alignment horizontal="center" vertical="center"/>
    </xf>
    <xf numFmtId="170" fontId="0" fillId="0" borderId="21" xfId="0" applyNumberForma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0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8" fillId="4" borderId="3" xfId="0" applyFont="1" applyFill="1" applyBorder="1" applyAlignment="1"/>
    <xf numFmtId="0" fontId="0" fillId="6" borderId="0" xfId="0" applyFill="1" applyBorder="1"/>
    <xf numFmtId="9" fontId="0" fillId="8" borderId="13" xfId="2" applyFont="1" applyFill="1" applyBorder="1" applyAlignment="1">
      <alignment horizontal="center"/>
    </xf>
    <xf numFmtId="165" fontId="1" fillId="0" borderId="13" xfId="0" applyNumberFormat="1" applyFont="1" applyFill="1" applyBorder="1"/>
    <xf numFmtId="165" fontId="1" fillId="0" borderId="17" xfId="0" applyNumberFormat="1" applyFont="1" applyFill="1" applyBorder="1"/>
    <xf numFmtId="0" fontId="1" fillId="8" borderId="20" xfId="0" applyFont="1" applyFill="1" applyBorder="1" applyAlignment="1">
      <alignment horizontal="center" vertical="center"/>
    </xf>
    <xf numFmtId="44" fontId="0" fillId="8" borderId="14" xfId="1" applyFont="1" applyFill="1" applyBorder="1"/>
    <xf numFmtId="44" fontId="0" fillId="8" borderId="31" xfId="1" applyFont="1" applyFill="1" applyBorder="1"/>
    <xf numFmtId="44" fontId="0" fillId="8" borderId="15" xfId="1" applyFont="1" applyFill="1" applyBorder="1"/>
    <xf numFmtId="9" fontId="0" fillId="0" borderId="0" xfId="2" applyFont="1"/>
    <xf numFmtId="9" fontId="0" fillId="8" borderId="16" xfId="2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10" fontId="0" fillId="8" borderId="27" xfId="0" applyNumberFormat="1" applyFill="1" applyBorder="1"/>
    <xf numFmtId="10" fontId="0" fillId="8" borderId="19" xfId="0" applyNumberFormat="1" applyFill="1" applyBorder="1"/>
    <xf numFmtId="10" fontId="0" fillId="8" borderId="33" xfId="0" applyNumberFormat="1" applyFill="1" applyBorder="1"/>
    <xf numFmtId="9" fontId="0" fillId="8" borderId="19" xfId="2" applyFont="1" applyFill="1" applyBorder="1" applyAlignment="1">
      <alignment horizontal="center"/>
    </xf>
    <xf numFmtId="9" fontId="6" fillId="8" borderId="18" xfId="2" applyFont="1" applyFill="1" applyBorder="1" applyAlignment="1">
      <alignment horizontal="center" vertical="center"/>
    </xf>
    <xf numFmtId="9" fontId="6" fillId="8" borderId="13" xfId="2" applyFont="1" applyFill="1" applyBorder="1" applyAlignment="1">
      <alignment horizontal="center" vertical="center"/>
    </xf>
    <xf numFmtId="9" fontId="1" fillId="2" borderId="20" xfId="2" applyFont="1" applyFill="1" applyBorder="1" applyAlignment="1">
      <alignment horizontal="center"/>
    </xf>
    <xf numFmtId="9" fontId="1" fillId="2" borderId="12" xfId="2" applyFont="1" applyFill="1" applyBorder="1" applyAlignment="1">
      <alignment horizontal="center"/>
    </xf>
    <xf numFmtId="0" fontId="1" fillId="2" borderId="13" xfId="0" applyFont="1" applyFill="1" applyBorder="1"/>
    <xf numFmtId="9" fontId="1" fillId="2" borderId="13" xfId="2" applyFont="1" applyFill="1" applyBorder="1"/>
    <xf numFmtId="0" fontId="0" fillId="3" borderId="13" xfId="0" applyFill="1" applyBorder="1" applyAlignment="1">
      <alignment horizontal="right"/>
    </xf>
    <xf numFmtId="0" fontId="1" fillId="3" borderId="13" xfId="0" applyFont="1" applyFill="1" applyBorder="1" applyAlignment="1">
      <alignment horizontal="center" vertical="center"/>
    </xf>
    <xf numFmtId="0" fontId="1" fillId="8" borderId="13" xfId="0" applyFont="1" applyFill="1" applyBorder="1"/>
    <xf numFmtId="0" fontId="0" fillId="8" borderId="16" xfId="0" applyFill="1" applyBorder="1" applyAlignment="1">
      <alignment horizontal="center"/>
    </xf>
    <xf numFmtId="0" fontId="0" fillId="3" borderId="18" xfId="0" applyFill="1" applyBorder="1" applyAlignment="1">
      <alignment horizontal="right"/>
    </xf>
    <xf numFmtId="0" fontId="0" fillId="8" borderId="17" xfId="0" applyFill="1" applyBorder="1" applyAlignment="1">
      <alignment horizontal="center"/>
    </xf>
    <xf numFmtId="10" fontId="11" fillId="8" borderId="20" xfId="2" applyNumberFormat="1" applyFont="1" applyFill="1" applyBorder="1"/>
    <xf numFmtId="0" fontId="0" fillId="3" borderId="13" xfId="0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13" xfId="0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readingOrder="1"/>
    </xf>
    <xf numFmtId="0" fontId="0" fillId="10" borderId="13" xfId="0" applyFill="1" applyBorder="1" applyAlignment="1">
      <alignment horizontal="center"/>
    </xf>
    <xf numFmtId="167" fontId="29" fillId="6" borderId="13" xfId="0" applyNumberFormat="1" applyFont="1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13" xfId="0" applyFill="1" applyBorder="1"/>
    <xf numFmtId="0" fontId="11" fillId="0" borderId="0" xfId="0" applyFont="1" applyBorder="1" applyAlignment="1">
      <alignment vertical="top"/>
    </xf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right" vertical="top"/>
    </xf>
    <xf numFmtId="0" fontId="0" fillId="8" borderId="13" xfId="2" applyNumberFormat="1" applyFont="1" applyFill="1" applyBorder="1"/>
    <xf numFmtId="0" fontId="0" fillId="0" borderId="0" xfId="0" applyAlignment="1">
      <alignment horizontal="left"/>
    </xf>
    <xf numFmtId="0" fontId="2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166" fontId="11" fillId="8" borderId="13" xfId="2" applyNumberFormat="1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29" fillId="10" borderId="13" xfId="0" applyFont="1" applyFill="1" applyBorder="1" applyAlignment="1">
      <alignment horizontal="center"/>
    </xf>
    <xf numFmtId="0" fontId="29" fillId="10" borderId="13" xfId="0" applyFont="1" applyFill="1" applyBorder="1"/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9" fontId="0" fillId="8" borderId="13" xfId="2" applyFont="1" applyFill="1" applyBorder="1"/>
    <xf numFmtId="9" fontId="11" fillId="8" borderId="13" xfId="2" applyFont="1" applyFill="1" applyBorder="1" applyAlignment="1">
      <alignment horizontal="center" vertical="top"/>
    </xf>
    <xf numFmtId="0" fontId="11" fillId="8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5" fillId="9" borderId="1" xfId="0" applyFont="1" applyFill="1" applyBorder="1" applyAlignment="1" applyProtection="1">
      <alignment horizontal="center" vertical="center"/>
      <protection hidden="1"/>
    </xf>
    <xf numFmtId="0" fontId="25" fillId="9" borderId="2" xfId="0" applyFont="1" applyFill="1" applyBorder="1" applyAlignment="1" applyProtection="1">
      <alignment horizontal="center" vertical="center"/>
      <protection hidden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Backlog!$G$15</c:f>
              <c:strCache>
                <c:ptCount val="1"/>
                <c:pt idx="0">
                  <c:v>BACKLOG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yVal>
            <c:numRef>
              <c:f>Backlog!$G$16:$G$32</c:f>
              <c:numCache>
                <c:formatCode>0.000</c:formatCode>
                <c:ptCount val="17"/>
                <c:pt idx="0">
                  <c:v>33.777777777777779</c:v>
                </c:pt>
                <c:pt idx="1">
                  <c:v>21.583333333333332</c:v>
                </c:pt>
                <c:pt idx="2">
                  <c:v>21.888888888888889</c:v>
                </c:pt>
                <c:pt idx="3">
                  <c:v>21.194444444444443</c:v>
                </c:pt>
                <c:pt idx="4">
                  <c:v>27.972222222222221</c:v>
                </c:pt>
                <c:pt idx="5">
                  <c:v>27</c:v>
                </c:pt>
                <c:pt idx="6">
                  <c:v>33.805555555555557</c:v>
                </c:pt>
                <c:pt idx="7">
                  <c:v>25</c:v>
                </c:pt>
                <c:pt idx="8">
                  <c:v>35.833333333333336</c:v>
                </c:pt>
                <c:pt idx="9">
                  <c:v>29.361111111111111</c:v>
                </c:pt>
                <c:pt idx="10">
                  <c:v>30.194444444444443</c:v>
                </c:pt>
                <c:pt idx="11">
                  <c:v>16.833333333333332</c:v>
                </c:pt>
                <c:pt idx="12">
                  <c:v>29.194444444444443</c:v>
                </c:pt>
                <c:pt idx="13">
                  <c:v>29.194444444444443</c:v>
                </c:pt>
                <c:pt idx="14">
                  <c:v>29.194444444444443</c:v>
                </c:pt>
                <c:pt idx="15">
                  <c:v>38.777777777777779</c:v>
                </c:pt>
                <c:pt idx="16">
                  <c:v>28.111111111111111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07-4F7D-9316-A72AF87E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67752"/>
        <c:axId val="367069320"/>
      </c:scatterChart>
      <c:valAx>
        <c:axId val="36706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069320"/>
        <c:crosses val="autoZero"/>
        <c:crossBetween val="midCat"/>
      </c:valAx>
      <c:valAx>
        <c:axId val="367069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067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E8-476A-BC38-1C080A483BE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3E8-476A-BC38-1C080A483BE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3E8-476A-BC38-1C080A483B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ABC!$Q$4:$Q$6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ABC!$R$4:$R$6</c:f>
              <c:numCache>
                <c:formatCode>_("R$"* #,##0.00_);_("R$"* \(#,##0.00\);_("R$"* "-"??_);_(@_)</c:formatCode>
                <c:ptCount val="3"/>
                <c:pt idx="0">
                  <c:v>430000</c:v>
                </c:pt>
                <c:pt idx="1">
                  <c:v>191250</c:v>
                </c:pt>
                <c:pt idx="2">
                  <c:v>88850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8-476A-BC38-1C080A483BE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ABC</a:t>
            </a:r>
          </a:p>
        </c:rich>
      </c:tx>
      <c:layout>
        <c:manualLayout>
          <c:xMode val="edge"/>
          <c:yMode val="edge"/>
          <c:x val="0.23679722681105328"/>
          <c:y val="3.129250359740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1.6088810548848372E-2"/>
                  <c:y val="-5.7661652883791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6-4587-A66A-D68F7B316D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6-4587-A66A-D68F7B316DE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numCol="1" anchor="b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ABC!$O$3:$O$7</c:f>
              <c:numCache>
                <c:formatCode>0%</c:formatCode>
                <c:ptCount val="5"/>
                <c:pt idx="0">
                  <c:v>0</c:v>
                </c:pt>
                <c:pt idx="1">
                  <c:v>0.10000000000000003</c:v>
                </c:pt>
                <c:pt idx="2">
                  <c:v>0.2</c:v>
                </c:pt>
                <c:pt idx="3">
                  <c:v>0.7</c:v>
                </c:pt>
                <c:pt idx="4">
                  <c:v>1</c:v>
                </c:pt>
              </c:numCache>
            </c:numRef>
          </c:cat>
          <c:val>
            <c:numRef>
              <c:f>ABC!$M$3:$M$7</c:f>
              <c:numCache>
                <c:formatCode>0%</c:formatCode>
                <c:ptCount val="5"/>
                <c:pt idx="0">
                  <c:v>0</c:v>
                </c:pt>
                <c:pt idx="1">
                  <c:v>0.7</c:v>
                </c:pt>
                <c:pt idx="2">
                  <c:v>0.89999999999999991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6-4587-A66A-D68F7B316DE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7070104"/>
        <c:axId val="367068928"/>
      </c:lineChart>
      <c:catAx>
        <c:axId val="36707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aseline="0"/>
                  <a:t>Itens em estoque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0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689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 de uso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07010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134592</xdr:colOff>
      <xdr:row>0</xdr:row>
      <xdr:rowOff>49696</xdr:rowOff>
    </xdr:from>
    <xdr:to>
      <xdr:col>14</xdr:col>
      <xdr:colOff>439392</xdr:colOff>
      <xdr:row>14</xdr:row>
      <xdr:rowOff>84897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182217</xdr:colOff>
      <xdr:row>15</xdr:row>
      <xdr:rowOff>49693</xdr:rowOff>
    </xdr:from>
    <xdr:to>
      <xdr:col>4</xdr:col>
      <xdr:colOff>621196</xdr:colOff>
      <xdr:row>27</xdr:row>
      <xdr:rowOff>33956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91110</xdr:colOff>
      <xdr:row>13</xdr:row>
      <xdr:rowOff>149086</xdr:rowOff>
    </xdr:from>
    <xdr:to>
      <xdr:col>17</xdr:col>
      <xdr:colOff>24847</xdr:colOff>
      <xdr:row>28</xdr:row>
      <xdr:rowOff>66261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9"/>
  <sheetViews>
    <sheetView zoomScale="115" zoomScaleNormal="115" workbookViewId="0">
      <selection activeCell="B33" sqref="B33"/>
    </sheetView>
  </sheetViews>
  <sheetFormatPr defaultRowHeight="15" x14ac:dyDescent="0.25"/>
  <cols>
    <col min="2" max="2" width="37.140625" bestFit="1" customWidth="1"/>
    <col min="3" max="3" width="19.42578125" bestFit="1" customWidth="1"/>
    <col min="4" max="4" width="16.28515625" bestFit="1" customWidth="1"/>
    <col min="5" max="5" width="9.42578125" customWidth="1"/>
    <col min="10" max="10" width="7.28515625" customWidth="1"/>
    <col min="11" max="11" width="7.140625" customWidth="1"/>
    <col min="12" max="12" width="12" bestFit="1" customWidth="1"/>
    <col min="14" max="14" width="12" customWidth="1"/>
    <col min="16" max="16" width="11.140625" bestFit="1" customWidth="1"/>
    <col min="17" max="17" width="8.42578125" bestFit="1" customWidth="1"/>
    <col min="18" max="18" width="10.28515625" bestFit="1" customWidth="1"/>
  </cols>
  <sheetData>
    <row r="2" spans="2:17" x14ac:dyDescent="0.25">
      <c r="B2" s="191" t="s">
        <v>0</v>
      </c>
      <c r="C2" s="226" t="s">
        <v>1</v>
      </c>
      <c r="D2" s="226"/>
      <c r="E2" s="191" t="s">
        <v>2</v>
      </c>
    </row>
    <row r="3" spans="2:17" ht="15.75" x14ac:dyDescent="0.25">
      <c r="B3" s="46" t="s">
        <v>3</v>
      </c>
      <c r="C3" s="192" t="s">
        <v>4</v>
      </c>
      <c r="D3" s="192" t="s">
        <v>5</v>
      </c>
      <c r="E3" s="192"/>
      <c r="G3" s="225" t="s">
        <v>4</v>
      </c>
      <c r="H3" s="225"/>
      <c r="I3" s="225"/>
      <c r="L3" s="227" t="s">
        <v>6</v>
      </c>
      <c r="M3" s="227"/>
      <c r="O3" s="64"/>
    </row>
    <row r="4" spans="2:17" x14ac:dyDescent="0.25">
      <c r="B4" s="46" t="s">
        <v>7</v>
      </c>
      <c r="C4" s="46"/>
      <c r="D4" s="46"/>
      <c r="E4" s="46"/>
      <c r="G4" s="46" t="s">
        <v>8</v>
      </c>
      <c r="H4" s="46" t="s">
        <v>9</v>
      </c>
      <c r="I4" s="46" t="s">
        <v>10</v>
      </c>
      <c r="L4" s="46" t="s">
        <v>11</v>
      </c>
      <c r="M4" s="46" t="s">
        <v>12</v>
      </c>
      <c r="O4" s="64"/>
    </row>
    <row r="5" spans="2:17" ht="15.75" x14ac:dyDescent="0.25">
      <c r="B5" s="46" t="s">
        <v>13</v>
      </c>
      <c r="C5" s="194" t="s">
        <v>14</v>
      </c>
      <c r="D5" s="46"/>
      <c r="E5" s="46"/>
      <c r="G5" s="57">
        <f>H5-I5</f>
        <v>105</v>
      </c>
      <c r="H5" s="195">
        <v>150</v>
      </c>
      <c r="I5" s="195">
        <v>45</v>
      </c>
      <c r="L5" s="196">
        <v>0.2076388888888889</v>
      </c>
      <c r="M5" s="197">
        <f>(HOUR(L5)*60+MINUTE(L5))</f>
        <v>299</v>
      </c>
      <c r="O5" s="64"/>
    </row>
    <row r="6" spans="2:17" x14ac:dyDescent="0.25">
      <c r="B6" s="46" t="s">
        <v>15</v>
      </c>
      <c r="C6" s="46"/>
      <c r="D6" s="46"/>
      <c r="E6" s="46"/>
      <c r="O6" s="64"/>
    </row>
    <row r="7" spans="2:17" ht="15.75" x14ac:dyDescent="0.25">
      <c r="B7" s="46" t="s">
        <v>16</v>
      </c>
      <c r="C7" s="46"/>
      <c r="D7" s="46"/>
      <c r="E7" s="46"/>
      <c r="G7" s="225" t="s">
        <v>5</v>
      </c>
      <c r="H7" s="225"/>
      <c r="I7" s="225"/>
      <c r="J7" s="225"/>
      <c r="L7" s="198" t="s">
        <v>17</v>
      </c>
      <c r="M7" s="48" t="s">
        <v>18</v>
      </c>
      <c r="N7" s="48" t="s">
        <v>19</v>
      </c>
      <c r="O7" s="64"/>
    </row>
    <row r="8" spans="2:17" x14ac:dyDescent="0.25">
      <c r="B8" s="46" t="s">
        <v>20</v>
      </c>
      <c r="C8" s="46"/>
      <c r="D8" s="46"/>
      <c r="E8" s="46"/>
      <c r="G8" s="46" t="s">
        <v>21</v>
      </c>
      <c r="H8" s="46" t="s">
        <v>9</v>
      </c>
      <c r="I8" s="46" t="s">
        <v>22</v>
      </c>
      <c r="J8" s="46" t="s">
        <v>23</v>
      </c>
      <c r="L8" s="199">
        <v>4</v>
      </c>
      <c r="M8" s="195">
        <v>59</v>
      </c>
      <c r="N8" s="57">
        <f>L8*60+M8</f>
        <v>299</v>
      </c>
      <c r="O8" s="64"/>
    </row>
    <row r="9" spans="2:17" x14ac:dyDescent="0.25">
      <c r="B9" s="46" t="s">
        <v>24</v>
      </c>
      <c r="C9" s="46"/>
      <c r="D9" s="46"/>
      <c r="E9" s="46"/>
      <c r="G9" s="51">
        <f>H9-I9-J9</f>
        <v>-1</v>
      </c>
      <c r="H9" s="200">
        <v>1</v>
      </c>
      <c r="I9" s="200">
        <v>1</v>
      </c>
      <c r="J9" s="200">
        <v>1</v>
      </c>
      <c r="L9" s="64"/>
      <c r="M9" s="64"/>
      <c r="N9" s="64"/>
      <c r="O9" s="64"/>
    </row>
    <row r="10" spans="2:17" ht="15.75" x14ac:dyDescent="0.25">
      <c r="B10" s="46" t="s">
        <v>25</v>
      </c>
      <c r="C10" s="192" t="s">
        <v>26</v>
      </c>
      <c r="D10" s="46"/>
      <c r="E10" s="46"/>
      <c r="L10" s="228" t="s">
        <v>27</v>
      </c>
      <c r="M10" s="228"/>
      <c r="N10" s="228"/>
      <c r="O10" s="228"/>
    </row>
    <row r="11" spans="2:17" ht="15.75" x14ac:dyDescent="0.25">
      <c r="B11" s="46" t="s">
        <v>28</v>
      </c>
      <c r="C11" s="192" t="s">
        <v>29</v>
      </c>
      <c r="D11" s="46"/>
      <c r="E11" s="46"/>
      <c r="G11" s="229" t="s">
        <v>14</v>
      </c>
      <c r="H11" s="229"/>
      <c r="I11" s="229"/>
      <c r="L11" s="46" t="s">
        <v>30</v>
      </c>
      <c r="M11" s="46" t="s">
        <v>31</v>
      </c>
      <c r="N11" s="46" t="s">
        <v>32</v>
      </c>
      <c r="O11" s="46" t="s">
        <v>33</v>
      </c>
      <c r="Q11" s="201"/>
    </row>
    <row r="12" spans="2:17" ht="15.75" x14ac:dyDescent="0.25">
      <c r="B12" s="46" t="s">
        <v>34</v>
      </c>
      <c r="C12" s="202" t="s">
        <v>27</v>
      </c>
      <c r="D12" s="203" t="s">
        <v>35</v>
      </c>
      <c r="E12" s="203"/>
      <c r="G12" s="46" t="s">
        <v>36</v>
      </c>
      <c r="H12" s="46" t="s">
        <v>37</v>
      </c>
      <c r="I12" s="46" t="s">
        <v>38</v>
      </c>
      <c r="L12" s="51">
        <f>(M12*N12)/O12</f>
        <v>1</v>
      </c>
      <c r="M12" s="200">
        <v>1</v>
      </c>
      <c r="N12" s="200">
        <v>1</v>
      </c>
      <c r="O12" s="200">
        <v>1</v>
      </c>
    </row>
    <row r="13" spans="2:17" ht="15.75" x14ac:dyDescent="0.25">
      <c r="B13" s="46" t="s">
        <v>39</v>
      </c>
      <c r="C13" s="192" t="s">
        <v>40</v>
      </c>
      <c r="D13" s="46"/>
      <c r="E13" s="46"/>
      <c r="G13" s="51">
        <f>H13-I13</f>
        <v>0</v>
      </c>
      <c r="H13" s="200">
        <v>1</v>
      </c>
      <c r="I13" s="200">
        <v>1</v>
      </c>
    </row>
    <row r="14" spans="2:17" ht="15.75" x14ac:dyDescent="0.25">
      <c r="B14" s="46" t="s">
        <v>41</v>
      </c>
      <c r="C14" s="204"/>
      <c r="D14" s="46"/>
      <c r="E14" s="46"/>
      <c r="L14" s="225" t="s">
        <v>40</v>
      </c>
      <c r="M14" s="225"/>
      <c r="N14" s="225"/>
      <c r="O14" s="225"/>
    </row>
    <row r="15" spans="2:17" ht="15.75" x14ac:dyDescent="0.25">
      <c r="B15" s="46" t="s">
        <v>42</v>
      </c>
      <c r="C15" s="192"/>
      <c r="D15" s="46"/>
      <c r="E15" s="46"/>
      <c r="G15" s="225" t="s">
        <v>29</v>
      </c>
      <c r="H15" s="225"/>
      <c r="I15" s="225"/>
      <c r="L15" s="46" t="s">
        <v>43</v>
      </c>
      <c r="M15" s="46" t="s">
        <v>44</v>
      </c>
      <c r="N15" s="46" t="s">
        <v>45</v>
      </c>
      <c r="O15" s="46" t="s">
        <v>46</v>
      </c>
    </row>
    <row r="16" spans="2:17" ht="15.75" x14ac:dyDescent="0.25">
      <c r="B16" s="46" t="s">
        <v>47</v>
      </c>
      <c r="C16" s="192"/>
      <c r="D16" s="46"/>
      <c r="E16" s="46"/>
      <c r="G16" s="46" t="s">
        <v>48</v>
      </c>
      <c r="H16" s="46" t="s">
        <v>49</v>
      </c>
      <c r="I16" s="46" t="s">
        <v>50</v>
      </c>
      <c r="L16" s="51">
        <f>(M16-N16)/O16</f>
        <v>0</v>
      </c>
      <c r="M16" s="200">
        <v>1</v>
      </c>
      <c r="N16" s="200">
        <v>1</v>
      </c>
      <c r="O16" s="200">
        <v>1</v>
      </c>
      <c r="Q16" s="64"/>
    </row>
    <row r="17" spans="2:17" x14ac:dyDescent="0.25">
      <c r="B17" s="46" t="s">
        <v>51</v>
      </c>
      <c r="C17" s="46"/>
      <c r="D17" s="46"/>
      <c r="E17" s="46"/>
      <c r="G17" s="205">
        <f>H17/I17</f>
        <v>0.8</v>
      </c>
      <c r="H17" s="200">
        <v>80</v>
      </c>
      <c r="I17" s="200">
        <v>100</v>
      </c>
      <c r="Q17" s="64"/>
    </row>
    <row r="18" spans="2:17" ht="15.75" x14ac:dyDescent="0.25">
      <c r="B18" s="46" t="s">
        <v>52</v>
      </c>
      <c r="C18" s="46"/>
      <c r="D18" s="46"/>
      <c r="E18" s="46"/>
      <c r="L18" s="225" t="s">
        <v>26</v>
      </c>
      <c r="M18" s="225"/>
      <c r="N18" s="225"/>
      <c r="O18" s="225"/>
      <c r="Q18" s="64"/>
    </row>
    <row r="19" spans="2:17" x14ac:dyDescent="0.25">
      <c r="C19" s="10"/>
      <c r="D19" s="10"/>
      <c r="E19" s="10"/>
      <c r="L19" s="46" t="s">
        <v>53</v>
      </c>
      <c r="M19" s="46" t="s">
        <v>54</v>
      </c>
      <c r="N19" s="46" t="s">
        <v>55</v>
      </c>
      <c r="O19" s="46" t="s">
        <v>56</v>
      </c>
      <c r="P19" s="206">
        <v>100</v>
      </c>
      <c r="Q19" s="64"/>
    </row>
    <row r="20" spans="2:17" x14ac:dyDescent="0.25">
      <c r="C20" s="10"/>
      <c r="D20" s="10"/>
      <c r="E20" s="10"/>
      <c r="L20" s="205">
        <f>M20*N20*O20</f>
        <v>0.12</v>
      </c>
      <c r="M20" s="200">
        <v>0.3</v>
      </c>
      <c r="N20" s="200">
        <v>0.5</v>
      </c>
      <c r="O20" s="200">
        <v>0.8</v>
      </c>
      <c r="Q20" s="64"/>
    </row>
    <row r="21" spans="2:17" x14ac:dyDescent="0.25">
      <c r="C21" s="10"/>
      <c r="D21" s="10"/>
      <c r="E21" s="10"/>
      <c r="L21" s="46" t="s">
        <v>57</v>
      </c>
      <c r="M21" s="54">
        <f>L20</f>
        <v>0.12</v>
      </c>
      <c r="Q21" s="64"/>
    </row>
    <row r="22" spans="2:17" x14ac:dyDescent="0.25">
      <c r="C22" s="10"/>
      <c r="D22" s="10"/>
      <c r="E22" s="10"/>
      <c r="Q22" s="64"/>
    </row>
    <row r="23" spans="2:17" x14ac:dyDescent="0.25">
      <c r="C23" s="10"/>
      <c r="D23" s="10"/>
      <c r="E23" s="10"/>
      <c r="M23" s="64"/>
      <c r="N23" s="207"/>
      <c r="O23" s="207"/>
      <c r="P23" s="52"/>
      <c r="Q23" s="64"/>
    </row>
    <row r="24" spans="2:17" x14ac:dyDescent="0.25">
      <c r="M24" s="64"/>
      <c r="N24" s="207"/>
      <c r="O24" s="207"/>
      <c r="P24" s="52"/>
      <c r="Q24" s="64"/>
    </row>
    <row r="25" spans="2:17" x14ac:dyDescent="0.25">
      <c r="M25" s="64"/>
      <c r="N25" s="207"/>
      <c r="O25" s="207"/>
      <c r="P25" s="52"/>
      <c r="Q25" s="64"/>
    </row>
    <row r="26" spans="2:17" x14ac:dyDescent="0.25">
      <c r="M26" s="64"/>
      <c r="N26" s="207"/>
      <c r="O26" s="207"/>
      <c r="P26" s="52"/>
      <c r="Q26" s="64"/>
    </row>
    <row r="27" spans="2:17" ht="15.75" x14ac:dyDescent="0.25">
      <c r="M27" s="64"/>
      <c r="N27" s="208"/>
      <c r="O27" s="52"/>
      <c r="P27" s="208"/>
      <c r="Q27" s="64"/>
    </row>
    <row r="28" spans="2:17" x14ac:dyDescent="0.25">
      <c r="M28" s="64"/>
      <c r="N28" s="52"/>
      <c r="O28" s="52"/>
      <c r="P28" s="52"/>
      <c r="Q28" s="64"/>
    </row>
    <row r="29" spans="2:17" x14ac:dyDescent="0.25">
      <c r="M29" s="64"/>
      <c r="N29" s="64"/>
      <c r="O29" s="64"/>
      <c r="P29" s="64"/>
      <c r="Q29" s="64"/>
    </row>
  </sheetData>
  <mergeCells count="9">
    <mergeCell ref="L14:O14"/>
    <mergeCell ref="G15:I15"/>
    <mergeCell ref="L18:O18"/>
    <mergeCell ref="C2:D2"/>
    <mergeCell ref="G3:I3"/>
    <mergeCell ref="L3:M3"/>
    <mergeCell ref="G7:J7"/>
    <mergeCell ref="L10:O10"/>
    <mergeCell ref="G11:I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S35"/>
  <sheetViews>
    <sheetView view="pageBreakPreview" zoomScale="55" zoomScaleNormal="55" zoomScaleSheetLayoutView="55" workbookViewId="0">
      <selection activeCell="C7" sqref="C7"/>
    </sheetView>
  </sheetViews>
  <sheetFormatPr defaultRowHeight="15" x14ac:dyDescent="0.25"/>
  <cols>
    <col min="1" max="1" width="16.140625" customWidth="1"/>
    <col min="2" max="2" width="30.7109375" customWidth="1"/>
    <col min="3" max="3" width="50.7109375" customWidth="1"/>
    <col min="4" max="4" width="40.7109375" customWidth="1"/>
    <col min="5" max="5" width="34.7109375" customWidth="1"/>
    <col min="6" max="6" width="5.7109375" customWidth="1"/>
    <col min="7" max="7" width="40.7109375" customWidth="1"/>
    <col min="8" max="8" width="5.7109375" customWidth="1"/>
    <col min="9" max="10" width="30.7109375" customWidth="1"/>
    <col min="11" max="11" width="5.7109375" customWidth="1"/>
    <col min="12" max="12" width="7.7109375" customWidth="1"/>
    <col min="13" max="13" width="30.7109375" customWidth="1"/>
    <col min="14" max="14" width="17.7109375" bestFit="1" customWidth="1"/>
    <col min="15" max="15" width="50.7109375" customWidth="1"/>
    <col min="16" max="18" width="5.7109375" customWidth="1"/>
    <col min="19" max="19" width="7.7109375" customWidth="1"/>
  </cols>
  <sheetData>
    <row r="2" spans="2:19" ht="18.75" customHeight="1" thickBot="1" x14ac:dyDescent="0.3"/>
    <row r="3" spans="2:19" ht="69" customHeight="1" thickBot="1" x14ac:dyDescent="0.3">
      <c r="B3" s="265" t="s">
        <v>283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34" t="s">
        <v>284</v>
      </c>
      <c r="P3" s="72"/>
      <c r="Q3" s="73"/>
      <c r="R3" s="74"/>
      <c r="S3" s="75"/>
    </row>
    <row r="4" spans="2:19" ht="15.75" thickBot="1" x14ac:dyDescent="0.3">
      <c r="B4" s="76"/>
      <c r="C4" s="76"/>
      <c r="D4" s="76"/>
      <c r="E4" s="76"/>
      <c r="F4" s="77"/>
      <c r="G4" s="76"/>
      <c r="H4" s="77"/>
      <c r="I4" s="76"/>
      <c r="J4" s="78"/>
      <c r="K4" s="79"/>
      <c r="L4" s="80"/>
      <c r="M4" s="76"/>
      <c r="N4" s="76"/>
      <c r="O4" s="76"/>
      <c r="P4" s="77"/>
      <c r="Q4" s="76"/>
      <c r="R4" s="76"/>
      <c r="S4" s="80"/>
    </row>
    <row r="5" spans="2:19" x14ac:dyDescent="0.25">
      <c r="B5" s="130" t="s">
        <v>285</v>
      </c>
      <c r="C5" s="81"/>
      <c r="D5" s="81" t="s">
        <v>286</v>
      </c>
      <c r="E5" s="82"/>
      <c r="F5" s="83" t="s">
        <v>287</v>
      </c>
      <c r="G5" s="82"/>
      <c r="H5" s="83"/>
      <c r="I5" s="81" t="s">
        <v>288</v>
      </c>
      <c r="J5" s="82" t="s">
        <v>289</v>
      </c>
      <c r="K5" s="83"/>
      <c r="L5" s="82"/>
      <c r="M5" s="82"/>
      <c r="N5" s="84"/>
      <c r="O5" s="85" t="s">
        <v>290</v>
      </c>
      <c r="P5" s="86" t="s">
        <v>291</v>
      </c>
      <c r="Q5" s="82"/>
      <c r="R5" s="82"/>
      <c r="S5" s="84"/>
    </row>
    <row r="6" spans="2:19" ht="15.75" thickBot="1" x14ac:dyDescent="0.3">
      <c r="B6" s="87"/>
      <c r="C6" s="128"/>
      <c r="D6" s="88"/>
      <c r="E6" s="89"/>
      <c r="F6" s="90"/>
      <c r="G6" s="89"/>
      <c r="H6" s="90"/>
      <c r="I6" s="88"/>
      <c r="J6" s="89"/>
      <c r="K6" s="90"/>
      <c r="L6" s="91"/>
      <c r="M6" s="89"/>
      <c r="N6" s="92"/>
      <c r="O6" s="93"/>
      <c r="P6" s="94"/>
      <c r="Q6" s="95"/>
      <c r="R6" s="95"/>
      <c r="S6" s="96"/>
    </row>
    <row r="7" spans="2:19" x14ac:dyDescent="0.25">
      <c r="B7" s="85" t="s">
        <v>292</v>
      </c>
      <c r="C7" s="81"/>
      <c r="D7" s="81" t="s">
        <v>293</v>
      </c>
      <c r="E7" s="97"/>
      <c r="F7" s="98"/>
      <c r="G7" s="97"/>
      <c r="H7" s="98"/>
      <c r="I7" s="97"/>
      <c r="J7" s="97"/>
      <c r="K7" s="98"/>
      <c r="L7" s="82"/>
      <c r="M7" s="99"/>
      <c r="N7" s="97" t="s">
        <v>294</v>
      </c>
      <c r="O7" s="82"/>
      <c r="P7" s="98"/>
      <c r="Q7" s="97"/>
      <c r="R7" s="97"/>
      <c r="S7" s="84"/>
    </row>
    <row r="8" spans="2:19" ht="15.75" thickBot="1" x14ac:dyDescent="0.3">
      <c r="B8" s="93"/>
      <c r="C8" s="87"/>
      <c r="D8" s="87"/>
      <c r="E8" s="95"/>
      <c r="F8" s="100"/>
      <c r="G8" s="95"/>
      <c r="H8" s="100"/>
      <c r="I8" s="95"/>
      <c r="J8" s="95"/>
      <c r="K8" s="100"/>
      <c r="L8" s="101"/>
      <c r="M8" s="92"/>
      <c r="N8" s="102"/>
      <c r="O8" s="89"/>
      <c r="P8" s="90"/>
      <c r="Q8" s="89"/>
      <c r="R8" s="89"/>
      <c r="S8" s="103"/>
    </row>
    <row r="9" spans="2:19" x14ac:dyDescent="0.25">
      <c r="B9" s="135" t="s">
        <v>295</v>
      </c>
      <c r="C9" s="129"/>
      <c r="D9" s="104" t="s">
        <v>296</v>
      </c>
      <c r="E9" s="78"/>
      <c r="F9" s="79"/>
      <c r="G9" s="78"/>
      <c r="H9" s="79"/>
      <c r="I9" s="78"/>
      <c r="J9" s="78"/>
      <c r="K9" s="79"/>
      <c r="L9" s="105"/>
      <c r="M9" s="106"/>
      <c r="N9" s="86" t="s">
        <v>297</v>
      </c>
      <c r="O9" s="97"/>
      <c r="P9" s="98"/>
      <c r="Q9" s="97"/>
      <c r="R9" s="97"/>
      <c r="S9" s="84"/>
    </row>
    <row r="10" spans="2:19" ht="15.75" customHeight="1" thickBot="1" x14ac:dyDescent="0.3">
      <c r="B10" s="107"/>
      <c r="C10" s="128"/>
      <c r="D10" s="88"/>
      <c r="E10" s="89"/>
      <c r="F10" s="90"/>
      <c r="G10" s="89"/>
      <c r="H10" s="90"/>
      <c r="I10" s="89"/>
      <c r="J10" s="89"/>
      <c r="K10" s="90"/>
      <c r="L10" s="91"/>
      <c r="M10" s="108"/>
      <c r="N10" s="109"/>
      <c r="O10" s="89"/>
      <c r="P10" s="90"/>
      <c r="Q10" s="89"/>
      <c r="R10" s="89"/>
      <c r="S10" s="103"/>
    </row>
    <row r="11" spans="2:19" ht="111.75" customHeight="1" thickTop="1" thickBot="1" x14ac:dyDescent="0.3">
      <c r="B11" s="131" t="s">
        <v>298</v>
      </c>
      <c r="C11" s="131" t="s">
        <v>299</v>
      </c>
      <c r="D11" s="131" t="s">
        <v>300</v>
      </c>
      <c r="E11" s="131" t="s">
        <v>301</v>
      </c>
      <c r="F11" s="132" t="s">
        <v>302</v>
      </c>
      <c r="G11" s="131" t="s">
        <v>303</v>
      </c>
      <c r="H11" s="132" t="s">
        <v>304</v>
      </c>
      <c r="I11" s="131" t="s">
        <v>305</v>
      </c>
      <c r="J11" s="131" t="s">
        <v>306</v>
      </c>
      <c r="K11" s="132" t="s">
        <v>307</v>
      </c>
      <c r="L11" s="133" t="s">
        <v>308</v>
      </c>
      <c r="M11" s="131" t="s">
        <v>309</v>
      </c>
      <c r="N11" s="131" t="s">
        <v>310</v>
      </c>
      <c r="O11" s="131" t="s">
        <v>311</v>
      </c>
      <c r="P11" s="132" t="s">
        <v>302</v>
      </c>
      <c r="Q11" s="132" t="s">
        <v>304</v>
      </c>
      <c r="R11" s="132" t="s">
        <v>307</v>
      </c>
      <c r="S11" s="133" t="s">
        <v>308</v>
      </c>
    </row>
    <row r="12" spans="2:19" ht="16.5" thickTop="1" thickBot="1" x14ac:dyDescent="0.3">
      <c r="B12" s="110"/>
      <c r="C12" s="110"/>
      <c r="D12" s="110"/>
      <c r="E12" s="110"/>
      <c r="F12" s="111"/>
      <c r="G12" s="110"/>
      <c r="H12" s="111"/>
      <c r="I12" s="110"/>
      <c r="J12" s="110"/>
      <c r="K12" s="111"/>
      <c r="L12" s="112"/>
      <c r="M12" s="110"/>
      <c r="N12" s="110"/>
      <c r="O12" s="110"/>
      <c r="P12" s="111"/>
      <c r="Q12" s="112"/>
      <c r="R12" s="112"/>
      <c r="S12" s="112"/>
    </row>
    <row r="13" spans="2:19" ht="60" customHeight="1" x14ac:dyDescent="0.25">
      <c r="B13" s="113"/>
      <c r="C13" s="113"/>
      <c r="D13" s="113"/>
      <c r="E13" s="114"/>
      <c r="F13" s="115"/>
      <c r="G13" s="114"/>
      <c r="H13" s="115"/>
      <c r="I13" s="114"/>
      <c r="J13" s="114"/>
      <c r="K13" s="115"/>
      <c r="L13" s="116"/>
      <c r="M13" s="114"/>
      <c r="N13" s="114"/>
      <c r="O13" s="114"/>
      <c r="P13" s="115"/>
      <c r="Q13" s="115"/>
      <c r="R13" s="115"/>
      <c r="S13" s="116"/>
    </row>
    <row r="14" spans="2:19" ht="60" customHeight="1" x14ac:dyDescent="0.25">
      <c r="B14" s="117"/>
      <c r="C14" s="117"/>
      <c r="D14" s="117"/>
      <c r="E14" s="118"/>
      <c r="F14" s="119"/>
      <c r="G14" s="118"/>
      <c r="H14" s="119"/>
      <c r="I14" s="118"/>
      <c r="J14" s="118"/>
      <c r="K14" s="119"/>
      <c r="L14" s="120"/>
      <c r="M14" s="118"/>
      <c r="N14" s="118"/>
      <c r="O14" s="118"/>
      <c r="P14" s="119"/>
      <c r="Q14" s="119"/>
      <c r="R14" s="119"/>
      <c r="S14" s="120"/>
    </row>
    <row r="15" spans="2:19" ht="60" customHeight="1" thickBot="1" x14ac:dyDescent="0.3">
      <c r="B15" s="121"/>
      <c r="C15" s="121"/>
      <c r="D15" s="121"/>
      <c r="E15" s="121"/>
      <c r="F15" s="122"/>
      <c r="G15" s="121"/>
      <c r="H15" s="122"/>
      <c r="I15" s="121"/>
      <c r="J15" s="121"/>
      <c r="K15" s="122"/>
      <c r="L15" s="123"/>
      <c r="M15" s="121"/>
      <c r="N15" s="121"/>
      <c r="O15" s="121"/>
      <c r="P15" s="122"/>
      <c r="Q15" s="122"/>
      <c r="R15" s="122"/>
      <c r="S15" s="123"/>
    </row>
    <row r="16" spans="2:19" ht="15.75" thickBot="1" x14ac:dyDescent="0.3">
      <c r="B16" s="124"/>
      <c r="C16" s="124"/>
      <c r="D16" s="124"/>
      <c r="E16" s="124"/>
      <c r="F16" s="125"/>
      <c r="G16" s="124"/>
      <c r="H16" s="125"/>
      <c r="I16" s="124"/>
      <c r="J16" s="124"/>
      <c r="K16" s="125"/>
      <c r="L16" s="126"/>
      <c r="M16" s="124"/>
      <c r="N16" s="124"/>
      <c r="O16" s="124"/>
      <c r="P16" s="127"/>
      <c r="Q16" s="127"/>
      <c r="R16" s="127"/>
      <c r="S16" s="126"/>
    </row>
    <row r="17" spans="2:19" ht="60" customHeight="1" x14ac:dyDescent="0.25">
      <c r="B17" s="113"/>
      <c r="C17" s="113"/>
      <c r="D17" s="113"/>
      <c r="E17" s="114"/>
      <c r="F17" s="115"/>
      <c r="G17" s="114"/>
      <c r="H17" s="115"/>
      <c r="I17" s="114"/>
      <c r="J17" s="114"/>
      <c r="K17" s="115"/>
      <c r="L17" s="116"/>
      <c r="M17" s="114"/>
      <c r="N17" s="114"/>
      <c r="O17" s="114"/>
      <c r="P17" s="115"/>
      <c r="Q17" s="115"/>
      <c r="R17" s="115"/>
      <c r="S17" s="116"/>
    </row>
    <row r="18" spans="2:19" ht="60" customHeight="1" x14ac:dyDescent="0.25">
      <c r="B18" s="117"/>
      <c r="C18" s="117"/>
      <c r="D18" s="117"/>
      <c r="E18" s="118"/>
      <c r="F18" s="119"/>
      <c r="G18" s="118"/>
      <c r="H18" s="119"/>
      <c r="I18" s="118"/>
      <c r="J18" s="118"/>
      <c r="K18" s="119"/>
      <c r="L18" s="120"/>
      <c r="M18" s="118"/>
      <c r="N18" s="118"/>
      <c r="O18" s="118"/>
      <c r="P18" s="119"/>
      <c r="Q18" s="119"/>
      <c r="R18" s="119"/>
      <c r="S18" s="120"/>
    </row>
    <row r="19" spans="2:19" ht="60" customHeight="1" thickBot="1" x14ac:dyDescent="0.3">
      <c r="B19" s="121"/>
      <c r="C19" s="121"/>
      <c r="D19" s="121"/>
      <c r="E19" s="121"/>
      <c r="F19" s="122"/>
      <c r="G19" s="121"/>
      <c r="H19" s="122"/>
      <c r="I19" s="121"/>
      <c r="J19" s="121"/>
      <c r="K19" s="122"/>
      <c r="L19" s="123"/>
      <c r="M19" s="121"/>
      <c r="N19" s="121"/>
      <c r="O19" s="121"/>
      <c r="P19" s="122"/>
      <c r="Q19" s="122"/>
      <c r="R19" s="122"/>
      <c r="S19" s="123"/>
    </row>
    <row r="20" spans="2:19" ht="15.75" thickBot="1" x14ac:dyDescent="0.3">
      <c r="B20" s="124"/>
      <c r="C20" s="124"/>
      <c r="D20" s="124"/>
      <c r="E20" s="124"/>
      <c r="F20" s="125"/>
      <c r="G20" s="124"/>
      <c r="H20" s="125"/>
      <c r="I20" s="124"/>
      <c r="J20" s="124"/>
      <c r="K20" s="125"/>
      <c r="L20" s="126"/>
      <c r="M20" s="124"/>
      <c r="N20" s="124"/>
      <c r="O20" s="124"/>
      <c r="P20" s="127"/>
      <c r="Q20" s="127"/>
      <c r="R20" s="127"/>
      <c r="S20" s="126"/>
    </row>
    <row r="21" spans="2:19" ht="60" customHeight="1" x14ac:dyDescent="0.25">
      <c r="B21" s="113"/>
      <c r="C21" s="113"/>
      <c r="D21" s="113"/>
      <c r="E21" s="114"/>
      <c r="F21" s="115"/>
      <c r="G21" s="114"/>
      <c r="H21" s="115"/>
      <c r="I21" s="114"/>
      <c r="J21" s="114"/>
      <c r="K21" s="115"/>
      <c r="L21" s="116"/>
      <c r="M21" s="114"/>
      <c r="N21" s="114"/>
      <c r="O21" s="114"/>
      <c r="P21" s="115"/>
      <c r="Q21" s="115"/>
      <c r="R21" s="115"/>
      <c r="S21" s="116"/>
    </row>
    <row r="22" spans="2:19" ht="60" customHeight="1" x14ac:dyDescent="0.25">
      <c r="B22" s="117"/>
      <c r="C22" s="117"/>
      <c r="D22" s="117"/>
      <c r="E22" s="118"/>
      <c r="F22" s="119"/>
      <c r="G22" s="118"/>
      <c r="H22" s="119"/>
      <c r="I22" s="118"/>
      <c r="J22" s="118"/>
      <c r="K22" s="119"/>
      <c r="L22" s="120"/>
      <c r="M22" s="118"/>
      <c r="N22" s="118"/>
      <c r="O22" s="118"/>
      <c r="P22" s="119"/>
      <c r="Q22" s="119"/>
      <c r="R22" s="119"/>
      <c r="S22" s="120"/>
    </row>
    <row r="23" spans="2:19" ht="60" customHeight="1" thickBot="1" x14ac:dyDescent="0.3">
      <c r="B23" s="121"/>
      <c r="C23" s="121"/>
      <c r="D23" s="121"/>
      <c r="E23" s="121"/>
      <c r="F23" s="122"/>
      <c r="G23" s="121"/>
      <c r="H23" s="122"/>
      <c r="I23" s="121"/>
      <c r="J23" s="121"/>
      <c r="K23" s="122"/>
      <c r="L23" s="123"/>
      <c r="M23" s="121"/>
      <c r="N23" s="121"/>
      <c r="O23" s="121"/>
      <c r="P23" s="122"/>
      <c r="Q23" s="122"/>
      <c r="R23" s="122"/>
      <c r="S23" s="123"/>
    </row>
    <row r="24" spans="2:19" ht="15.75" thickBot="1" x14ac:dyDescent="0.3">
      <c r="B24" s="124"/>
      <c r="C24" s="124"/>
      <c r="D24" s="124"/>
      <c r="E24" s="124"/>
      <c r="F24" s="125"/>
      <c r="G24" s="124"/>
      <c r="H24" s="125"/>
      <c r="I24" s="124"/>
      <c r="J24" s="124"/>
      <c r="K24" s="125"/>
      <c r="L24" s="126"/>
      <c r="M24" s="124"/>
      <c r="N24" s="124"/>
      <c r="O24" s="124"/>
      <c r="P24" s="127"/>
      <c r="Q24" s="127"/>
      <c r="R24" s="127"/>
      <c r="S24" s="126"/>
    </row>
    <row r="25" spans="2:19" ht="60" customHeight="1" x14ac:dyDescent="0.25">
      <c r="B25" s="113"/>
      <c r="C25" s="113"/>
      <c r="D25" s="113"/>
      <c r="E25" s="114"/>
      <c r="F25" s="115"/>
      <c r="G25" s="114"/>
      <c r="H25" s="115"/>
      <c r="I25" s="114"/>
      <c r="J25" s="114"/>
      <c r="K25" s="115"/>
      <c r="L25" s="116"/>
      <c r="M25" s="114"/>
      <c r="N25" s="114"/>
      <c r="O25" s="114"/>
      <c r="P25" s="115"/>
      <c r="Q25" s="115"/>
      <c r="R25" s="115"/>
      <c r="S25" s="116"/>
    </row>
    <row r="26" spans="2:19" ht="60" customHeight="1" x14ac:dyDescent="0.25">
      <c r="B26" s="117"/>
      <c r="C26" s="117"/>
      <c r="D26" s="117"/>
      <c r="E26" s="118"/>
      <c r="F26" s="119"/>
      <c r="G26" s="118"/>
      <c r="H26" s="119"/>
      <c r="I26" s="118"/>
      <c r="J26" s="118"/>
      <c r="K26" s="119"/>
      <c r="L26" s="120"/>
      <c r="M26" s="118"/>
      <c r="N26" s="118"/>
      <c r="O26" s="118"/>
      <c r="P26" s="119"/>
      <c r="Q26" s="119"/>
      <c r="R26" s="119"/>
      <c r="S26" s="120"/>
    </row>
    <row r="27" spans="2:19" ht="60" customHeight="1" thickBot="1" x14ac:dyDescent="0.3">
      <c r="B27" s="121"/>
      <c r="C27" s="121"/>
      <c r="D27" s="121"/>
      <c r="E27" s="121"/>
      <c r="F27" s="122"/>
      <c r="G27" s="121"/>
      <c r="H27" s="122"/>
      <c r="I27" s="121"/>
      <c r="J27" s="121"/>
      <c r="K27" s="122"/>
      <c r="L27" s="123"/>
      <c r="M27" s="121"/>
      <c r="N27" s="121"/>
      <c r="O27" s="121"/>
      <c r="P27" s="122"/>
      <c r="Q27" s="122"/>
      <c r="R27" s="122"/>
      <c r="S27" s="123"/>
    </row>
    <row r="28" spans="2:19" ht="15.75" thickBot="1" x14ac:dyDescent="0.3"/>
    <row r="29" spans="2:19" ht="60" customHeight="1" x14ac:dyDescent="0.25">
      <c r="B29" s="113"/>
      <c r="C29" s="113"/>
      <c r="D29" s="113"/>
      <c r="E29" s="114"/>
      <c r="F29" s="115"/>
      <c r="G29" s="114"/>
      <c r="H29" s="115"/>
      <c r="I29" s="114"/>
      <c r="J29" s="114"/>
      <c r="K29" s="115"/>
      <c r="L29" s="116"/>
      <c r="M29" s="114"/>
      <c r="N29" s="114"/>
      <c r="O29" s="114"/>
      <c r="P29" s="115"/>
      <c r="Q29" s="115"/>
      <c r="R29" s="115"/>
      <c r="S29" s="116"/>
    </row>
    <row r="30" spans="2:19" ht="60" customHeight="1" x14ac:dyDescent="0.25">
      <c r="B30" s="117"/>
      <c r="C30" s="117"/>
      <c r="D30" s="117"/>
      <c r="E30" s="118"/>
      <c r="F30" s="119"/>
      <c r="G30" s="118"/>
      <c r="H30" s="119"/>
      <c r="I30" s="118"/>
      <c r="J30" s="118"/>
      <c r="K30" s="119"/>
      <c r="L30" s="120"/>
      <c r="M30" s="118"/>
      <c r="N30" s="118"/>
      <c r="O30" s="118"/>
      <c r="P30" s="119"/>
      <c r="Q30" s="119"/>
      <c r="R30" s="119"/>
      <c r="S30" s="120"/>
    </row>
    <row r="31" spans="2:19" ht="60" customHeight="1" thickBot="1" x14ac:dyDescent="0.3">
      <c r="B31" s="121"/>
      <c r="C31" s="121"/>
      <c r="D31" s="121"/>
      <c r="E31" s="121"/>
      <c r="F31" s="122"/>
      <c r="G31" s="121"/>
      <c r="H31" s="122"/>
      <c r="I31" s="121"/>
      <c r="J31" s="121"/>
      <c r="K31" s="122"/>
      <c r="L31" s="123"/>
      <c r="M31" s="121"/>
      <c r="N31" s="121"/>
      <c r="O31" s="121"/>
      <c r="P31" s="122"/>
      <c r="Q31" s="122"/>
      <c r="R31" s="122"/>
      <c r="S31" s="123"/>
    </row>
    <row r="32" spans="2:19" ht="15.75" thickBot="1" x14ac:dyDescent="0.3"/>
    <row r="33" spans="2:19" ht="60" customHeight="1" x14ac:dyDescent="0.25">
      <c r="B33" s="113"/>
      <c r="C33" s="113"/>
      <c r="D33" s="113"/>
      <c r="E33" s="114"/>
      <c r="F33" s="115"/>
      <c r="G33" s="114"/>
      <c r="H33" s="115"/>
      <c r="I33" s="114"/>
      <c r="J33" s="114"/>
      <c r="K33" s="115"/>
      <c r="L33" s="116"/>
      <c r="M33" s="114"/>
      <c r="N33" s="114"/>
      <c r="O33" s="114"/>
      <c r="P33" s="115"/>
      <c r="Q33" s="115"/>
      <c r="R33" s="115"/>
      <c r="S33" s="116"/>
    </row>
    <row r="34" spans="2:19" ht="60" customHeight="1" x14ac:dyDescent="0.25">
      <c r="B34" s="117"/>
      <c r="C34" s="117"/>
      <c r="D34" s="117"/>
      <c r="E34" s="118"/>
      <c r="F34" s="119"/>
      <c r="G34" s="118"/>
      <c r="H34" s="119"/>
      <c r="I34" s="118"/>
      <c r="J34" s="118"/>
      <c r="K34" s="119"/>
      <c r="L34" s="120"/>
      <c r="M34" s="118"/>
      <c r="N34" s="118"/>
      <c r="O34" s="118"/>
      <c r="P34" s="119"/>
      <c r="Q34" s="119"/>
      <c r="R34" s="119"/>
      <c r="S34" s="120"/>
    </row>
    <row r="35" spans="2:19" ht="60" customHeight="1" thickBot="1" x14ac:dyDescent="0.3">
      <c r="B35" s="121"/>
      <c r="C35" s="121"/>
      <c r="D35" s="121"/>
      <c r="E35" s="121"/>
      <c r="F35" s="122"/>
      <c r="G35" s="121"/>
      <c r="H35" s="122"/>
      <c r="I35" s="121"/>
      <c r="J35" s="121"/>
      <c r="K35" s="122"/>
      <c r="L35" s="123"/>
      <c r="M35" s="121"/>
      <c r="N35" s="121"/>
      <c r="O35" s="121"/>
      <c r="P35" s="122"/>
      <c r="Q35" s="122"/>
      <c r="R35" s="122"/>
      <c r="S35" s="123"/>
    </row>
  </sheetData>
  <mergeCells count="1">
    <mergeCell ref="B3:N3"/>
  </mergeCells>
  <dataValidations count="2">
    <dataValidation type="list" allowBlank="1" showInputMessage="1" showErrorMessage="1" errorTitle="ERRO!" error="OS VALORES DEVEM SER DIGITADOS CONFORME AS TABELAS DE DETECÇÃO, OCORRÊNCIA E SEVERIDADE." sqref="F13:F15 K33:K35 P33:R35 F33:F35 H33:H35 K29:K31 P29:R31 F29:F31 H29:H31 H13:H15 K13:K15 P17:R19 K25:K27 F21:F23 K21:K23 P21:R23 F17:F19 H17:H19 K17:K19 P25:R27 H21:H23 F25:F27 P13:R15 H25:H27" xr:uid="{00000000-0002-0000-0900-000000000000}">
      <formula1>$B$16:$B$25</formula1>
    </dataValidation>
    <dataValidation type="list" allowBlank="1" showInputMessage="1" showErrorMessage="1" errorTitle="ERRO!" error="FMEA: PROJETO OU PRODUTO" sqref="B6:C6" xr:uid="{00000000-0002-0000-0900-000001000000}">
      <formula1>$B$5:$B$6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9"/>
  <sheetViews>
    <sheetView tabSelected="1" zoomScaleNormal="100" workbookViewId="0">
      <selection activeCell="B3" sqref="B3"/>
    </sheetView>
  </sheetViews>
  <sheetFormatPr defaultRowHeight="15" x14ac:dyDescent="0.25"/>
  <cols>
    <col min="1" max="1" width="4" customWidth="1"/>
    <col min="2" max="2" width="37.140625" bestFit="1" customWidth="1"/>
    <col min="3" max="3" width="19.42578125" bestFit="1" customWidth="1"/>
    <col min="4" max="4" width="16.28515625" bestFit="1" customWidth="1"/>
    <col min="5" max="5" width="9.42578125" customWidth="1"/>
    <col min="6" max="6" width="4.42578125" customWidth="1"/>
    <col min="7" max="7" width="7.7109375" bestFit="1" customWidth="1"/>
    <col min="8" max="10" width="5.140625" bestFit="1" customWidth="1"/>
    <col min="11" max="11" width="3.140625" customWidth="1"/>
    <col min="12" max="12" width="12" bestFit="1" customWidth="1"/>
    <col min="14" max="14" width="12" customWidth="1"/>
    <col min="16" max="16" width="2.5703125" customWidth="1"/>
    <col min="17" max="17" width="5.42578125" customWidth="1"/>
    <col min="18" max="18" width="5.140625" bestFit="1" customWidth="1"/>
  </cols>
  <sheetData>
    <row r="2" spans="2:18" x14ac:dyDescent="0.25">
      <c r="B2" s="191" t="s">
        <v>0</v>
      </c>
      <c r="C2" s="226" t="s">
        <v>1</v>
      </c>
      <c r="D2" s="226"/>
      <c r="E2" s="191" t="s">
        <v>2</v>
      </c>
    </row>
    <row r="3" spans="2:18" ht="15.75" x14ac:dyDescent="0.25">
      <c r="B3" s="46" t="s">
        <v>3</v>
      </c>
      <c r="C3" s="192" t="s">
        <v>4</v>
      </c>
      <c r="D3" s="192" t="s">
        <v>5</v>
      </c>
      <c r="E3" s="209">
        <f>G9</f>
        <v>435</v>
      </c>
      <c r="G3" s="225" t="s">
        <v>4</v>
      </c>
      <c r="H3" s="225"/>
      <c r="I3" s="225"/>
      <c r="L3" s="227" t="s">
        <v>6</v>
      </c>
      <c r="M3" s="227"/>
      <c r="O3" s="64"/>
      <c r="Q3" s="67" t="s">
        <v>38</v>
      </c>
      <c r="R3" s="67" t="s">
        <v>23</v>
      </c>
    </row>
    <row r="4" spans="2:18" ht="15.75" x14ac:dyDescent="0.25">
      <c r="B4" s="46" t="s">
        <v>7</v>
      </c>
      <c r="C4" s="46"/>
      <c r="D4" s="46"/>
      <c r="E4" s="210"/>
      <c r="G4" s="46" t="s">
        <v>8</v>
      </c>
      <c r="H4" s="46" t="s">
        <v>9</v>
      </c>
      <c r="I4" s="46" t="s">
        <v>10</v>
      </c>
      <c r="L4" s="46" t="s">
        <v>11</v>
      </c>
      <c r="M4" s="46" t="s">
        <v>12</v>
      </c>
      <c r="O4" s="64"/>
      <c r="Q4" s="46">
        <v>15</v>
      </c>
      <c r="R4" s="46">
        <v>20</v>
      </c>
    </row>
    <row r="5" spans="2:18" ht="15.75" x14ac:dyDescent="0.25">
      <c r="B5" s="46" t="s">
        <v>13</v>
      </c>
      <c r="C5" s="194" t="s">
        <v>14</v>
      </c>
      <c r="D5" s="46"/>
      <c r="E5" s="209">
        <f>G13</f>
        <v>495</v>
      </c>
      <c r="G5" s="57">
        <f>H5-I5</f>
        <v>540</v>
      </c>
      <c r="H5" s="57">
        <f>E6</f>
        <v>540</v>
      </c>
      <c r="I5" s="57">
        <f>E9</f>
        <v>0</v>
      </c>
      <c r="L5" s="196">
        <v>0.375</v>
      </c>
      <c r="M5" s="197">
        <f>(HOUR(L5)*60+MINUTE(L5))</f>
        <v>540</v>
      </c>
      <c r="O5" s="64"/>
      <c r="Q5" s="46">
        <v>10</v>
      </c>
      <c r="R5" s="46">
        <v>20</v>
      </c>
    </row>
    <row r="6" spans="2:18" ht="15.75" x14ac:dyDescent="0.25">
      <c r="B6" s="46" t="s">
        <v>15</v>
      </c>
      <c r="C6" s="46"/>
      <c r="D6" s="46"/>
      <c r="E6" s="210">
        <v>540</v>
      </c>
      <c r="O6" s="64"/>
      <c r="Q6" s="46">
        <v>10</v>
      </c>
      <c r="R6" s="46">
        <v>20</v>
      </c>
    </row>
    <row r="7" spans="2:18" ht="15.75" x14ac:dyDescent="0.25">
      <c r="B7" s="46" t="s">
        <v>16</v>
      </c>
      <c r="C7" s="46"/>
      <c r="D7" s="46"/>
      <c r="E7" s="209">
        <f>Q13</f>
        <v>45</v>
      </c>
      <c r="G7" s="225" t="s">
        <v>5</v>
      </c>
      <c r="H7" s="225"/>
      <c r="I7" s="225"/>
      <c r="J7" s="225"/>
      <c r="L7" s="48" t="s">
        <v>17</v>
      </c>
      <c r="M7" s="48" t="s">
        <v>18</v>
      </c>
      <c r="N7" s="48" t="s">
        <v>19</v>
      </c>
      <c r="O7" s="64"/>
      <c r="Q7" s="46">
        <v>10</v>
      </c>
      <c r="R7" s="46"/>
    </row>
    <row r="8" spans="2:18" ht="15.75" x14ac:dyDescent="0.25">
      <c r="B8" s="46" t="s">
        <v>20</v>
      </c>
      <c r="C8" s="46"/>
      <c r="D8" s="46"/>
      <c r="E8" s="209">
        <f>R13</f>
        <v>60</v>
      </c>
      <c r="G8" s="46" t="s">
        <v>21</v>
      </c>
      <c r="H8" s="46" t="s">
        <v>9</v>
      </c>
      <c r="I8" s="46" t="s">
        <v>22</v>
      </c>
      <c r="J8" s="46" t="s">
        <v>23</v>
      </c>
      <c r="L8" s="57">
        <v>4</v>
      </c>
      <c r="M8" s="57">
        <v>59</v>
      </c>
      <c r="N8" s="57">
        <f>L8*60+M8</f>
        <v>299</v>
      </c>
      <c r="O8" s="64"/>
      <c r="Q8" s="46"/>
      <c r="R8" s="46"/>
    </row>
    <row r="9" spans="2:18" ht="15.75" x14ac:dyDescent="0.25">
      <c r="B9" s="46" t="s">
        <v>24</v>
      </c>
      <c r="C9" s="202" t="s">
        <v>58</v>
      </c>
      <c r="D9" s="46"/>
      <c r="E9" s="209"/>
      <c r="G9" s="51">
        <f>H9-I9-J9</f>
        <v>435</v>
      </c>
      <c r="H9" s="51">
        <f>E6</f>
        <v>540</v>
      </c>
      <c r="I9" s="51">
        <f>E7</f>
        <v>45</v>
      </c>
      <c r="J9" s="51">
        <f>E8</f>
        <v>60</v>
      </c>
      <c r="L9" s="64"/>
      <c r="M9" s="64"/>
      <c r="N9" s="64"/>
      <c r="O9" s="64"/>
      <c r="Q9" s="46"/>
      <c r="R9" s="46"/>
    </row>
    <row r="10" spans="2:18" ht="15.75" x14ac:dyDescent="0.25">
      <c r="B10" s="46" t="s">
        <v>25</v>
      </c>
      <c r="C10" s="192" t="s">
        <v>26</v>
      </c>
      <c r="D10" s="46"/>
      <c r="E10" s="211">
        <f>L20</f>
        <v>0.60606060606060608</v>
      </c>
      <c r="L10" s="228" t="s">
        <v>27</v>
      </c>
      <c r="M10" s="228"/>
      <c r="N10" s="228"/>
      <c r="O10" s="228"/>
      <c r="Q10" s="46"/>
      <c r="R10" s="46"/>
    </row>
    <row r="11" spans="2:18" ht="15.75" x14ac:dyDescent="0.25">
      <c r="B11" s="46" t="s">
        <v>28</v>
      </c>
      <c r="C11" s="192" t="s">
        <v>29</v>
      </c>
      <c r="D11" s="46"/>
      <c r="E11" s="211">
        <f>G17</f>
        <v>0.87878787878787878</v>
      </c>
      <c r="G11" s="229" t="s">
        <v>14</v>
      </c>
      <c r="H11" s="229"/>
      <c r="I11" s="229"/>
      <c r="L11" s="46" t="s">
        <v>30</v>
      </c>
      <c r="M11" s="46" t="s">
        <v>31</v>
      </c>
      <c r="N11" s="46" t="s">
        <v>32</v>
      </c>
      <c r="O11" s="46" t="s">
        <v>33</v>
      </c>
      <c r="Q11" s="46"/>
      <c r="R11" s="46"/>
    </row>
    <row r="12" spans="2:18" ht="15.75" x14ac:dyDescent="0.25">
      <c r="B12" s="46" t="s">
        <v>34</v>
      </c>
      <c r="C12" s="202" t="s">
        <v>27</v>
      </c>
      <c r="D12" s="203" t="s">
        <v>35</v>
      </c>
      <c r="E12" s="211">
        <f>L12</f>
        <v>0.68965517241379315</v>
      </c>
      <c r="G12" s="46" t="s">
        <v>36</v>
      </c>
      <c r="H12" s="46" t="s">
        <v>37</v>
      </c>
      <c r="I12" s="46" t="s">
        <v>38</v>
      </c>
      <c r="L12" s="51">
        <f>(M12*N12)/O12</f>
        <v>0.68965517241379315</v>
      </c>
      <c r="M12" s="51">
        <f>E16</f>
        <v>500</v>
      </c>
      <c r="N12" s="51">
        <f>E17</f>
        <v>0.6</v>
      </c>
      <c r="O12" s="51">
        <f>E3</f>
        <v>435</v>
      </c>
      <c r="Q12" s="46"/>
      <c r="R12" s="46"/>
    </row>
    <row r="13" spans="2:18" ht="15.75" x14ac:dyDescent="0.25">
      <c r="B13" s="46" t="s">
        <v>39</v>
      </c>
      <c r="C13" s="192" t="s">
        <v>40</v>
      </c>
      <c r="D13" s="46"/>
      <c r="E13" s="211">
        <f>L16</f>
        <v>1</v>
      </c>
      <c r="G13" s="51">
        <f>H13-I13</f>
        <v>495</v>
      </c>
      <c r="H13" s="51">
        <f>E6</f>
        <v>540</v>
      </c>
      <c r="I13" s="51">
        <f>E7</f>
        <v>45</v>
      </c>
      <c r="Q13" s="51">
        <f>SUM(Q4:Q12)</f>
        <v>45</v>
      </c>
      <c r="R13" s="51">
        <f>SUM(R4:R12)</f>
        <v>60</v>
      </c>
    </row>
    <row r="14" spans="2:18" ht="15.75" x14ac:dyDescent="0.25">
      <c r="B14" s="46" t="s">
        <v>41</v>
      </c>
      <c r="C14" s="204"/>
      <c r="D14" s="46"/>
      <c r="E14" s="210"/>
      <c r="L14" s="225" t="s">
        <v>40</v>
      </c>
      <c r="M14" s="225"/>
      <c r="N14" s="225"/>
      <c r="O14" s="225"/>
    </row>
    <row r="15" spans="2:18" ht="15.75" x14ac:dyDescent="0.25">
      <c r="B15" s="46" t="s">
        <v>42</v>
      </c>
      <c r="C15" s="192"/>
      <c r="D15" s="46"/>
      <c r="E15" s="212"/>
      <c r="G15" s="225" t="s">
        <v>29</v>
      </c>
      <c r="H15" s="225"/>
      <c r="I15" s="225"/>
      <c r="L15" s="46" t="s">
        <v>43</v>
      </c>
      <c r="M15" s="46" t="s">
        <v>44</v>
      </c>
      <c r="N15" s="46" t="s">
        <v>45</v>
      </c>
      <c r="O15" s="46" t="s">
        <v>46</v>
      </c>
    </row>
    <row r="16" spans="2:18" ht="15.75" x14ac:dyDescent="0.25">
      <c r="B16" s="46" t="s">
        <v>47</v>
      </c>
      <c r="C16" s="192"/>
      <c r="D16" s="46"/>
      <c r="E16" s="210">
        <v>500</v>
      </c>
      <c r="G16" s="46" t="s">
        <v>48</v>
      </c>
      <c r="H16" s="46" t="s">
        <v>49</v>
      </c>
      <c r="I16" s="46" t="s">
        <v>50</v>
      </c>
      <c r="L16" s="51">
        <f>(M16-N16)/O16</f>
        <v>1</v>
      </c>
      <c r="M16" s="51">
        <f>E16</f>
        <v>500</v>
      </c>
      <c r="N16" s="51">
        <f>E18</f>
        <v>0</v>
      </c>
      <c r="O16" s="51">
        <f>E16</f>
        <v>500</v>
      </c>
      <c r="Q16" s="64"/>
    </row>
    <row r="17" spans="2:17" ht="15.75" x14ac:dyDescent="0.25">
      <c r="B17" s="46" t="s">
        <v>51</v>
      </c>
      <c r="C17" s="46"/>
      <c r="D17" s="46"/>
      <c r="E17" s="210">
        <v>0.6</v>
      </c>
      <c r="G17" s="205">
        <f>H17/I17</f>
        <v>0.87878787878787878</v>
      </c>
      <c r="H17" s="51">
        <f>E3</f>
        <v>435</v>
      </c>
      <c r="I17" s="51">
        <f>E5</f>
        <v>495</v>
      </c>
      <c r="Q17" s="64"/>
    </row>
    <row r="18" spans="2:17" ht="15.75" x14ac:dyDescent="0.25">
      <c r="B18" s="46" t="s">
        <v>52</v>
      </c>
      <c r="C18" s="46"/>
      <c r="D18" s="46"/>
      <c r="E18" s="210">
        <v>0</v>
      </c>
      <c r="L18" s="225" t="s">
        <v>26</v>
      </c>
      <c r="M18" s="225"/>
      <c r="N18" s="225"/>
      <c r="O18" s="225"/>
      <c r="Q18" s="64"/>
    </row>
    <row r="19" spans="2:17" ht="15.75" x14ac:dyDescent="0.25">
      <c r="C19" s="10"/>
      <c r="D19" s="10"/>
      <c r="E19" s="10"/>
      <c r="G19" s="229" t="s">
        <v>59</v>
      </c>
      <c r="H19" s="229"/>
      <c r="I19" s="229"/>
      <c r="L19" s="46" t="s">
        <v>53</v>
      </c>
      <c r="M19" s="46" t="s">
        <v>54</v>
      </c>
      <c r="N19" s="46" t="s">
        <v>55</v>
      </c>
      <c r="O19" s="46" t="s">
        <v>56</v>
      </c>
      <c r="P19" s="206">
        <v>100</v>
      </c>
      <c r="Q19" s="64"/>
    </row>
    <row r="20" spans="2:17" x14ac:dyDescent="0.25">
      <c r="C20" s="10"/>
      <c r="D20" s="10"/>
      <c r="E20" s="10"/>
      <c r="G20" s="46" t="s">
        <v>36</v>
      </c>
      <c r="H20" s="46" t="s">
        <v>60</v>
      </c>
      <c r="I20" s="46" t="s">
        <v>23</v>
      </c>
      <c r="L20" s="205">
        <f>M20*N20*O20</f>
        <v>0.60606060606060608</v>
      </c>
      <c r="M20" s="51">
        <f>E11</f>
        <v>0.87878787878787878</v>
      </c>
      <c r="N20" s="51">
        <f>E12</f>
        <v>0.68965517241379315</v>
      </c>
      <c r="O20" s="51">
        <f>E13</f>
        <v>1</v>
      </c>
      <c r="Q20" s="64"/>
    </row>
    <row r="21" spans="2:17" x14ac:dyDescent="0.25">
      <c r="C21" s="10"/>
      <c r="D21" s="10"/>
      <c r="E21" s="10"/>
      <c r="G21" s="51">
        <f>H21+I21</f>
        <v>105</v>
      </c>
      <c r="H21" s="51">
        <f>E7</f>
        <v>45</v>
      </c>
      <c r="I21" s="51">
        <f>E8</f>
        <v>60</v>
      </c>
      <c r="L21" s="46" t="s">
        <v>57</v>
      </c>
      <c r="M21" s="54">
        <f>L20</f>
        <v>0.60606060606060608</v>
      </c>
      <c r="Q21" s="64"/>
    </row>
    <row r="22" spans="2:17" x14ac:dyDescent="0.25">
      <c r="C22" s="10"/>
      <c r="D22" s="10"/>
      <c r="E22" s="10"/>
      <c r="Q22" s="64"/>
    </row>
    <row r="23" spans="2:17" x14ac:dyDescent="0.25">
      <c r="C23" s="10"/>
      <c r="D23" s="10"/>
      <c r="E23" s="10"/>
      <c r="M23" s="64"/>
      <c r="N23" s="207"/>
      <c r="O23" s="207"/>
      <c r="P23" s="52"/>
      <c r="Q23" s="64"/>
    </row>
    <row r="24" spans="2:17" x14ac:dyDescent="0.25">
      <c r="M24" s="64"/>
      <c r="N24" s="207"/>
      <c r="O24" s="207"/>
      <c r="P24" s="52"/>
      <c r="Q24" s="64"/>
    </row>
    <row r="25" spans="2:17" x14ac:dyDescent="0.25">
      <c r="M25" s="64"/>
      <c r="N25" s="207"/>
      <c r="O25" s="207"/>
      <c r="P25" s="52"/>
      <c r="Q25" s="64"/>
    </row>
    <row r="26" spans="2:17" x14ac:dyDescent="0.25">
      <c r="M26" s="64"/>
      <c r="N26" s="207"/>
      <c r="O26" s="207"/>
      <c r="P26" s="52"/>
      <c r="Q26" s="64"/>
    </row>
    <row r="27" spans="2:17" ht="15.75" x14ac:dyDescent="0.25">
      <c r="M27" s="64"/>
      <c r="N27" s="208"/>
      <c r="O27" s="52"/>
      <c r="P27" s="208"/>
      <c r="Q27" s="64"/>
    </row>
    <row r="28" spans="2:17" x14ac:dyDescent="0.25">
      <c r="M28" s="64"/>
      <c r="N28" s="52"/>
      <c r="O28" s="52"/>
      <c r="P28" s="52"/>
      <c r="Q28" s="64"/>
    </row>
    <row r="29" spans="2:17" x14ac:dyDescent="0.25">
      <c r="M29" s="64"/>
      <c r="N29" s="64"/>
      <c r="O29" s="64"/>
      <c r="P29" s="64"/>
      <c r="Q29" s="64"/>
    </row>
  </sheetData>
  <mergeCells count="10">
    <mergeCell ref="L14:O14"/>
    <mergeCell ref="G15:I15"/>
    <mergeCell ref="L18:O18"/>
    <mergeCell ref="G19:I19"/>
    <mergeCell ref="C2:D2"/>
    <mergeCell ref="G3:I3"/>
    <mergeCell ref="L3:M3"/>
    <mergeCell ref="G7:J7"/>
    <mergeCell ref="L10:O10"/>
    <mergeCell ref="G11:I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3"/>
  <sheetViews>
    <sheetView topLeftCell="C1" zoomScale="85" zoomScaleNormal="85" workbookViewId="0">
      <selection activeCell="H20" sqref="H20"/>
    </sheetView>
  </sheetViews>
  <sheetFormatPr defaultRowHeight="15" x14ac:dyDescent="0.25"/>
  <cols>
    <col min="2" max="2" width="37.140625" bestFit="1" customWidth="1"/>
    <col min="3" max="3" width="33.28515625" bestFit="1" customWidth="1"/>
    <col min="4" max="4" width="4.85546875" customWidth="1"/>
    <col min="5" max="5" width="10.5703125" customWidth="1"/>
    <col min="7" max="7" width="12" customWidth="1"/>
    <col min="9" max="9" width="12" bestFit="1" customWidth="1"/>
    <col min="10" max="10" width="8.42578125" bestFit="1" customWidth="1"/>
    <col min="11" max="11" width="11.5703125" bestFit="1" customWidth="1"/>
    <col min="12" max="12" width="4.28515625" customWidth="1"/>
    <col min="13" max="13" width="13.140625" bestFit="1" customWidth="1"/>
  </cols>
  <sheetData>
    <row r="2" spans="2:15" x14ac:dyDescent="0.25">
      <c r="B2" s="191" t="s">
        <v>0</v>
      </c>
      <c r="C2" s="213" t="s">
        <v>1</v>
      </c>
      <c r="D2" s="214"/>
      <c r="M2" s="136" t="s">
        <v>61</v>
      </c>
      <c r="N2" s="136" t="s">
        <v>62</v>
      </c>
      <c r="O2" s="136" t="s">
        <v>63</v>
      </c>
    </row>
    <row r="3" spans="2:15" ht="15.75" x14ac:dyDescent="0.25">
      <c r="B3" s="46" t="s">
        <v>3</v>
      </c>
      <c r="C3" s="192" t="s">
        <v>64</v>
      </c>
      <c r="D3" s="215"/>
      <c r="E3" s="225" t="s">
        <v>64</v>
      </c>
      <c r="F3" s="225"/>
      <c r="G3" s="225"/>
      <c r="I3" s="230" t="s">
        <v>6</v>
      </c>
      <c r="J3" s="231"/>
      <c r="M3" s="216">
        <v>1</v>
      </c>
      <c r="N3" s="216">
        <v>1</v>
      </c>
      <c r="O3" s="49">
        <f>M3*N3</f>
        <v>1</v>
      </c>
    </row>
    <row r="4" spans="2:15" ht="15.75" x14ac:dyDescent="0.25">
      <c r="B4" s="46" t="s">
        <v>65</v>
      </c>
      <c r="C4" s="204" t="s">
        <v>66</v>
      </c>
      <c r="D4" s="217"/>
      <c r="E4" s="46" t="s">
        <v>8</v>
      </c>
      <c r="F4" s="46" t="s">
        <v>9</v>
      </c>
      <c r="G4" s="46" t="s">
        <v>67</v>
      </c>
      <c r="I4" s="46" t="s">
        <v>11</v>
      </c>
      <c r="J4" s="46" t="s">
        <v>12</v>
      </c>
      <c r="M4" s="216">
        <v>2</v>
      </c>
      <c r="N4" s="216">
        <v>2</v>
      </c>
      <c r="O4" s="49">
        <f t="shared" ref="O4:O12" si="0">M4*N4</f>
        <v>4</v>
      </c>
    </row>
    <row r="5" spans="2:15" ht="15.75" x14ac:dyDescent="0.25">
      <c r="B5" s="46" t="s">
        <v>68</v>
      </c>
      <c r="C5" s="192" t="s">
        <v>69</v>
      </c>
      <c r="D5" s="215"/>
      <c r="E5" s="57">
        <f>F5-G5</f>
        <v>105</v>
      </c>
      <c r="F5" s="218">
        <v>150</v>
      </c>
      <c r="G5" s="218">
        <v>45</v>
      </c>
      <c r="I5" s="196">
        <v>0.2076388888888889</v>
      </c>
      <c r="J5" s="197">
        <f>(HOUR(I5)*60+MINUTE(I5))</f>
        <v>299</v>
      </c>
      <c r="M5" s="216">
        <v>3</v>
      </c>
      <c r="N5" s="216">
        <v>2</v>
      </c>
      <c r="O5" s="49">
        <f t="shared" si="0"/>
        <v>6</v>
      </c>
    </row>
    <row r="6" spans="2:15" ht="15.75" x14ac:dyDescent="0.25">
      <c r="B6" s="46" t="s">
        <v>70</v>
      </c>
      <c r="C6" s="192" t="s">
        <v>71</v>
      </c>
      <c r="D6" s="215"/>
      <c r="M6" s="216">
        <v>3</v>
      </c>
      <c r="N6" s="216">
        <v>22</v>
      </c>
      <c r="O6" s="49">
        <f t="shared" si="0"/>
        <v>66</v>
      </c>
    </row>
    <row r="7" spans="2:15" x14ac:dyDescent="0.25">
      <c r="B7" s="46" t="s">
        <v>72</v>
      </c>
      <c r="C7" s="46"/>
      <c r="D7" s="10"/>
      <c r="I7" s="48" t="s">
        <v>17</v>
      </c>
      <c r="J7" s="48" t="s">
        <v>18</v>
      </c>
      <c r="K7" s="48" t="s">
        <v>19</v>
      </c>
      <c r="M7" s="216">
        <v>3</v>
      </c>
      <c r="N7" s="216">
        <v>2</v>
      </c>
      <c r="O7" s="49">
        <f t="shared" si="0"/>
        <v>6</v>
      </c>
    </row>
    <row r="8" spans="2:15" ht="15.75" x14ac:dyDescent="0.25">
      <c r="B8" s="46" t="s">
        <v>73</v>
      </c>
      <c r="C8" s="46"/>
      <c r="D8" s="10"/>
      <c r="E8" s="225" t="s">
        <v>74</v>
      </c>
      <c r="F8" s="225"/>
      <c r="G8" s="225"/>
      <c r="I8" s="218">
        <v>4</v>
      </c>
      <c r="J8" s="218">
        <v>59</v>
      </c>
      <c r="K8" s="57">
        <f>I8*60+J8</f>
        <v>299</v>
      </c>
      <c r="M8" s="216">
        <v>3</v>
      </c>
      <c r="N8" s="216">
        <v>2</v>
      </c>
      <c r="O8" s="49">
        <f t="shared" si="0"/>
        <v>6</v>
      </c>
    </row>
    <row r="9" spans="2:15" x14ac:dyDescent="0.25">
      <c r="B9" s="46"/>
      <c r="C9" s="46"/>
      <c r="D9" s="10"/>
      <c r="E9" s="46" t="s">
        <v>75</v>
      </c>
      <c r="F9" s="46" t="s">
        <v>76</v>
      </c>
      <c r="G9" s="46" t="s">
        <v>77</v>
      </c>
      <c r="M9" s="216"/>
      <c r="N9" s="216"/>
      <c r="O9" s="49">
        <f t="shared" si="0"/>
        <v>0</v>
      </c>
    </row>
    <row r="10" spans="2:15" ht="15.75" x14ac:dyDescent="0.25">
      <c r="B10" s="10"/>
      <c r="C10" s="215"/>
      <c r="D10" s="215"/>
      <c r="E10" s="51">
        <f>F10/G10</f>
        <v>1</v>
      </c>
      <c r="F10" s="219">
        <v>1</v>
      </c>
      <c r="G10" s="219">
        <v>1</v>
      </c>
      <c r="M10" s="216"/>
      <c r="N10" s="216"/>
      <c r="O10" s="49">
        <f t="shared" si="0"/>
        <v>0</v>
      </c>
    </row>
    <row r="11" spans="2:15" ht="15.75" x14ac:dyDescent="0.25">
      <c r="B11" s="10"/>
      <c r="C11" s="215"/>
      <c r="D11" s="215"/>
      <c r="I11" s="201"/>
      <c r="J11" s="201"/>
      <c r="M11" s="216"/>
      <c r="N11" s="216"/>
      <c r="O11" s="49">
        <f t="shared" si="0"/>
        <v>0</v>
      </c>
    </row>
    <row r="12" spans="2:15" ht="15.75" x14ac:dyDescent="0.25">
      <c r="B12" s="10"/>
      <c r="C12" s="220"/>
      <c r="D12" s="220"/>
      <c r="E12" s="225" t="s">
        <v>78</v>
      </c>
      <c r="F12" s="225"/>
      <c r="G12" s="225"/>
      <c r="I12" s="206" t="s">
        <v>79</v>
      </c>
      <c r="M12" s="216"/>
      <c r="N12" s="216"/>
      <c r="O12" s="49">
        <f t="shared" si="0"/>
        <v>0</v>
      </c>
    </row>
    <row r="13" spans="2:15" ht="15.75" x14ac:dyDescent="0.25">
      <c r="B13" s="10"/>
      <c r="C13" s="215"/>
      <c r="D13" s="215"/>
      <c r="E13" s="46" t="s">
        <v>80</v>
      </c>
      <c r="F13" s="46" t="s">
        <v>49</v>
      </c>
      <c r="G13" s="46" t="s">
        <v>77</v>
      </c>
      <c r="M13" s="60" t="s">
        <v>81</v>
      </c>
      <c r="N13" s="53"/>
      <c r="O13" s="60" t="s">
        <v>67</v>
      </c>
    </row>
    <row r="14" spans="2:15" x14ac:dyDescent="0.25">
      <c r="B14" s="10"/>
      <c r="C14" s="10"/>
      <c r="E14" s="51">
        <f>F14/G14</f>
        <v>1</v>
      </c>
      <c r="F14" s="219">
        <v>1</v>
      </c>
      <c r="G14" s="219">
        <v>1</v>
      </c>
      <c r="M14" s="49">
        <f>SUM(M3:M12)</f>
        <v>15</v>
      </c>
      <c r="N14" s="193"/>
      <c r="O14" s="49">
        <f>SUM(O3:O12)</f>
        <v>89</v>
      </c>
    </row>
    <row r="15" spans="2:15" x14ac:dyDescent="0.25">
      <c r="B15" s="10"/>
      <c r="C15" s="10"/>
    </row>
    <row r="16" spans="2:15" ht="15.75" x14ac:dyDescent="0.25">
      <c r="B16" s="10"/>
      <c r="C16" s="10"/>
      <c r="E16" s="232" t="s">
        <v>66</v>
      </c>
      <c r="F16" s="233"/>
      <c r="G16" s="234"/>
      <c r="H16" s="221"/>
    </row>
    <row r="17" spans="2:8" x14ac:dyDescent="0.25">
      <c r="B17" s="10"/>
      <c r="C17" s="10"/>
      <c r="E17" s="46" t="s">
        <v>82</v>
      </c>
      <c r="F17" s="46" t="s">
        <v>83</v>
      </c>
      <c r="G17" s="46" t="s">
        <v>84</v>
      </c>
      <c r="H17" s="46" t="s">
        <v>85</v>
      </c>
    </row>
    <row r="18" spans="2:8" x14ac:dyDescent="0.25">
      <c r="B18" s="10"/>
      <c r="C18" s="10"/>
      <c r="E18" s="51">
        <f>F18/(G18+H18)</f>
        <v>0.5</v>
      </c>
      <c r="F18" s="219">
        <v>1</v>
      </c>
      <c r="G18" s="219">
        <v>1</v>
      </c>
      <c r="H18" s="219">
        <v>1</v>
      </c>
    </row>
    <row r="19" spans="2:8" x14ac:dyDescent="0.25">
      <c r="B19" s="10"/>
      <c r="C19" s="10"/>
      <c r="D19" s="10"/>
      <c r="E19" s="46" t="s">
        <v>86</v>
      </c>
      <c r="F19" s="222">
        <f>E18</f>
        <v>0.5</v>
      </c>
    </row>
    <row r="20" spans="2:8" x14ac:dyDescent="0.25">
      <c r="B20" s="10"/>
      <c r="C20" s="10"/>
      <c r="D20" s="10"/>
    </row>
    <row r="21" spans="2:8" x14ac:dyDescent="0.25">
      <c r="B21" s="10"/>
      <c r="C21" s="10"/>
      <c r="D21" s="10"/>
    </row>
    <row r="22" spans="2:8" x14ac:dyDescent="0.25">
      <c r="B22" s="10"/>
      <c r="C22" s="10"/>
      <c r="D22" s="10"/>
    </row>
    <row r="23" spans="2:8" x14ac:dyDescent="0.25">
      <c r="B23" s="10"/>
      <c r="C23" s="10"/>
      <c r="D23" s="10"/>
    </row>
  </sheetData>
  <mergeCells count="5">
    <mergeCell ref="E3:G3"/>
    <mergeCell ref="I3:J3"/>
    <mergeCell ref="E8:G8"/>
    <mergeCell ref="E12:G12"/>
    <mergeCell ref="E16:G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3"/>
  <sheetViews>
    <sheetView zoomScale="115" zoomScaleNormal="115" workbookViewId="0">
      <selection activeCell="H20" sqref="H20"/>
    </sheetView>
  </sheetViews>
  <sheetFormatPr defaultRowHeight="15" x14ac:dyDescent="0.25"/>
  <cols>
    <col min="2" max="2" width="36.28515625" bestFit="1" customWidth="1"/>
    <col min="3" max="3" width="33.7109375" bestFit="1" customWidth="1"/>
    <col min="4" max="4" width="10.7109375" customWidth="1"/>
    <col min="5" max="5" width="4.85546875" customWidth="1"/>
    <col min="6" max="6" width="10.5703125" customWidth="1"/>
    <col min="8" max="8" width="12" customWidth="1"/>
    <col min="10" max="10" width="12" bestFit="1" customWidth="1"/>
    <col min="11" max="11" width="8.42578125" bestFit="1" customWidth="1"/>
    <col min="12" max="12" width="11.5703125" bestFit="1" customWidth="1"/>
    <col min="13" max="13" width="4.28515625" customWidth="1"/>
    <col min="14" max="14" width="13.140625" bestFit="1" customWidth="1"/>
  </cols>
  <sheetData>
    <row r="2" spans="2:16" x14ac:dyDescent="0.25">
      <c r="B2" s="191" t="s">
        <v>0</v>
      </c>
      <c r="C2" s="213" t="s">
        <v>1</v>
      </c>
      <c r="D2" s="213" t="s">
        <v>2</v>
      </c>
      <c r="E2" s="214"/>
      <c r="N2" s="136" t="s">
        <v>61</v>
      </c>
      <c r="O2" s="136" t="s">
        <v>62</v>
      </c>
      <c r="P2" s="136" t="s">
        <v>63</v>
      </c>
    </row>
    <row r="3" spans="2:16" ht="15.75" x14ac:dyDescent="0.25">
      <c r="E3" s="215"/>
      <c r="F3" s="225" t="s">
        <v>64</v>
      </c>
      <c r="G3" s="225"/>
      <c r="H3" s="225"/>
      <c r="J3" s="230" t="s">
        <v>6</v>
      </c>
      <c r="K3" s="231"/>
      <c r="N3" s="216">
        <v>8</v>
      </c>
      <c r="O3" s="216">
        <v>15</v>
      </c>
      <c r="P3" s="49">
        <f>N3*O3</f>
        <v>120</v>
      </c>
    </row>
    <row r="4" spans="2:16" ht="15.75" x14ac:dyDescent="0.25">
      <c r="B4" s="46" t="s">
        <v>15</v>
      </c>
      <c r="C4" s="46"/>
      <c r="D4" s="200">
        <v>3800</v>
      </c>
      <c r="E4" s="217"/>
      <c r="F4" s="46" t="s">
        <v>8</v>
      </c>
      <c r="G4" s="46" t="s">
        <v>9</v>
      </c>
      <c r="H4" s="46" t="s">
        <v>67</v>
      </c>
      <c r="J4" s="46" t="s">
        <v>11</v>
      </c>
      <c r="K4" s="46" t="s">
        <v>12</v>
      </c>
      <c r="N4" s="216">
        <v>3</v>
      </c>
      <c r="O4" s="216">
        <v>22</v>
      </c>
      <c r="P4" s="49">
        <f t="shared" ref="P4:P12" si="0">N4*O4</f>
        <v>66</v>
      </c>
    </row>
    <row r="5" spans="2:16" ht="15.75" x14ac:dyDescent="0.25">
      <c r="B5" s="46" t="s">
        <v>3</v>
      </c>
      <c r="C5" s="192" t="s">
        <v>64</v>
      </c>
      <c r="D5" s="209">
        <f>F5</f>
        <v>3513</v>
      </c>
      <c r="E5" s="215"/>
      <c r="F5" s="57">
        <f>G5-H5</f>
        <v>3513</v>
      </c>
      <c r="G5" s="57">
        <f>D4</f>
        <v>3800</v>
      </c>
      <c r="H5" s="57">
        <f>D10</f>
        <v>287</v>
      </c>
      <c r="J5" s="196">
        <v>0.2076388888888889</v>
      </c>
      <c r="K5" s="197">
        <f>(HOUR(J5)*60+MINUTE(J5))</f>
        <v>299</v>
      </c>
      <c r="N5" s="216">
        <v>2</v>
      </c>
      <c r="O5" s="216">
        <v>19</v>
      </c>
      <c r="P5" s="49">
        <f t="shared" si="0"/>
        <v>38</v>
      </c>
    </row>
    <row r="6" spans="2:16" ht="15.75" x14ac:dyDescent="0.25">
      <c r="B6" s="46" t="s">
        <v>65</v>
      </c>
      <c r="C6" s="204" t="s">
        <v>66</v>
      </c>
      <c r="D6" s="223">
        <f>F18</f>
        <v>0.92447368421052634</v>
      </c>
      <c r="E6" s="215"/>
      <c r="N6" s="216">
        <v>1</v>
      </c>
      <c r="O6" s="216">
        <v>26</v>
      </c>
      <c r="P6" s="49">
        <f t="shared" si="0"/>
        <v>26</v>
      </c>
    </row>
    <row r="7" spans="2:16" ht="15.75" x14ac:dyDescent="0.25">
      <c r="B7" s="46" t="s">
        <v>68</v>
      </c>
      <c r="C7" s="192" t="s">
        <v>69</v>
      </c>
      <c r="D7" s="209">
        <f>F10</f>
        <v>19.133333333333333</v>
      </c>
      <c r="E7" s="10"/>
      <c r="J7" s="48" t="s">
        <v>17</v>
      </c>
      <c r="K7" s="48" t="s">
        <v>18</v>
      </c>
      <c r="L7" s="48" t="s">
        <v>19</v>
      </c>
      <c r="N7" s="216">
        <v>1</v>
      </c>
      <c r="O7" s="216">
        <v>37</v>
      </c>
      <c r="P7" s="49">
        <f t="shared" si="0"/>
        <v>37</v>
      </c>
    </row>
    <row r="8" spans="2:16" ht="15.75" x14ac:dyDescent="0.25">
      <c r="B8" s="46" t="s">
        <v>70</v>
      </c>
      <c r="C8" s="192" t="s">
        <v>71</v>
      </c>
      <c r="D8" s="209">
        <f>F14</f>
        <v>234.2</v>
      </c>
      <c r="E8" s="10"/>
      <c r="F8" s="225" t="s">
        <v>74</v>
      </c>
      <c r="G8" s="225"/>
      <c r="H8" s="225"/>
      <c r="J8" s="195">
        <v>4</v>
      </c>
      <c r="K8" s="195">
        <v>59</v>
      </c>
      <c r="L8" s="57">
        <f>J8*60+K8</f>
        <v>299</v>
      </c>
      <c r="N8" s="216"/>
      <c r="O8" s="216"/>
      <c r="P8" s="49">
        <f t="shared" si="0"/>
        <v>0</v>
      </c>
    </row>
    <row r="9" spans="2:16" ht="15.75" x14ac:dyDescent="0.25">
      <c r="B9" s="46" t="s">
        <v>72</v>
      </c>
      <c r="C9" s="46"/>
      <c r="D9" s="224">
        <f>N14</f>
        <v>15</v>
      </c>
      <c r="E9" s="10"/>
      <c r="F9" s="46" t="s">
        <v>75</v>
      </c>
      <c r="G9" s="46" t="s">
        <v>76</v>
      </c>
      <c r="H9" s="46" t="s">
        <v>77</v>
      </c>
      <c r="N9" s="216"/>
      <c r="O9" s="216"/>
      <c r="P9" s="49">
        <f t="shared" si="0"/>
        <v>0</v>
      </c>
    </row>
    <row r="10" spans="2:16" ht="15.75" x14ac:dyDescent="0.25">
      <c r="B10" s="46" t="s">
        <v>73</v>
      </c>
      <c r="C10" s="46"/>
      <c r="D10" s="224">
        <f>P14</f>
        <v>287</v>
      </c>
      <c r="E10" s="215"/>
      <c r="F10" s="51">
        <f>G10/H10</f>
        <v>19.133333333333333</v>
      </c>
      <c r="G10" s="51">
        <f>D10</f>
        <v>287</v>
      </c>
      <c r="H10" s="51">
        <f>D9</f>
        <v>15</v>
      </c>
      <c r="N10" s="216"/>
      <c r="O10" s="216"/>
      <c r="P10" s="49">
        <f t="shared" si="0"/>
        <v>0</v>
      </c>
    </row>
    <row r="11" spans="2:16" ht="15.75" x14ac:dyDescent="0.25">
      <c r="B11" s="10"/>
      <c r="C11" s="215"/>
      <c r="D11" s="215"/>
      <c r="E11" s="215"/>
      <c r="J11" s="201"/>
      <c r="K11" s="201"/>
      <c r="N11" s="216"/>
      <c r="O11" s="216"/>
      <c r="P11" s="49">
        <f t="shared" si="0"/>
        <v>0</v>
      </c>
    </row>
    <row r="12" spans="2:16" ht="15.75" x14ac:dyDescent="0.25">
      <c r="B12" s="10"/>
      <c r="C12" s="220"/>
      <c r="D12" s="220"/>
      <c r="E12" s="220"/>
      <c r="F12" s="225" t="s">
        <v>78</v>
      </c>
      <c r="G12" s="225"/>
      <c r="H12" s="225"/>
      <c r="N12" s="216"/>
      <c r="O12" s="216"/>
      <c r="P12" s="49">
        <f t="shared" si="0"/>
        <v>0</v>
      </c>
    </row>
    <row r="13" spans="2:16" ht="15.75" x14ac:dyDescent="0.25">
      <c r="B13" s="10"/>
      <c r="C13" s="215"/>
      <c r="D13" s="215"/>
      <c r="E13" s="215"/>
      <c r="F13" s="46" t="s">
        <v>80</v>
      </c>
      <c r="G13" s="46" t="s">
        <v>49</v>
      </c>
      <c r="H13" s="46" t="s">
        <v>77</v>
      </c>
      <c r="N13" s="60" t="s">
        <v>81</v>
      </c>
      <c r="O13" s="53"/>
      <c r="P13" s="60" t="s">
        <v>67</v>
      </c>
    </row>
    <row r="14" spans="2:16" x14ac:dyDescent="0.25">
      <c r="B14" s="10"/>
      <c r="C14" s="10"/>
      <c r="D14" s="10"/>
      <c r="F14" s="51">
        <f>G14/H14</f>
        <v>234.2</v>
      </c>
      <c r="G14" s="51">
        <f>D5</f>
        <v>3513</v>
      </c>
      <c r="H14" s="51">
        <f>D9</f>
        <v>15</v>
      </c>
      <c r="N14" s="49">
        <f>SUM(N3:N12)</f>
        <v>15</v>
      </c>
      <c r="O14" s="193"/>
      <c r="P14" s="49">
        <f>SUM(P3:P12)</f>
        <v>287</v>
      </c>
    </row>
    <row r="15" spans="2:16" x14ac:dyDescent="0.25">
      <c r="B15" s="10"/>
      <c r="C15" s="10"/>
      <c r="D15" s="10"/>
    </row>
    <row r="16" spans="2:16" ht="15.75" x14ac:dyDescent="0.25">
      <c r="B16" s="10"/>
      <c r="C16" s="10"/>
      <c r="D16" s="10"/>
      <c r="F16" s="232" t="s">
        <v>66</v>
      </c>
      <c r="G16" s="233"/>
      <c r="H16" s="234"/>
      <c r="I16" s="221"/>
    </row>
    <row r="17" spans="2:10" x14ac:dyDescent="0.25">
      <c r="B17" s="10"/>
      <c r="C17" s="10"/>
      <c r="D17" s="10"/>
      <c r="F17" s="46" t="s">
        <v>82</v>
      </c>
      <c r="G17" s="46" t="s">
        <v>83</v>
      </c>
      <c r="H17" s="46" t="s">
        <v>84</v>
      </c>
      <c r="I17" s="46" t="s">
        <v>85</v>
      </c>
      <c r="J17" s="206" t="s">
        <v>79</v>
      </c>
    </row>
    <row r="18" spans="2:10" x14ac:dyDescent="0.25">
      <c r="B18" s="10"/>
      <c r="C18" s="10"/>
      <c r="D18" s="10"/>
      <c r="F18" s="51">
        <f>G18/(H18+I18)</f>
        <v>0.92447368421052634</v>
      </c>
      <c r="G18" s="51">
        <f>D8</f>
        <v>234.2</v>
      </c>
      <c r="H18" s="51">
        <f>D8</f>
        <v>234.2</v>
      </c>
      <c r="I18" s="51">
        <f>D7</f>
        <v>19.133333333333333</v>
      </c>
    </row>
    <row r="19" spans="2:10" x14ac:dyDescent="0.25">
      <c r="B19" s="10"/>
      <c r="C19" s="10"/>
      <c r="D19" s="10"/>
      <c r="E19" s="10"/>
      <c r="F19" s="46" t="s">
        <v>86</v>
      </c>
      <c r="G19" s="222">
        <f>F18</f>
        <v>0.92447368421052634</v>
      </c>
    </row>
    <row r="20" spans="2:10" x14ac:dyDescent="0.25">
      <c r="B20" s="10"/>
      <c r="C20" s="10"/>
      <c r="D20" s="10"/>
      <c r="E20" s="10"/>
    </row>
    <row r="21" spans="2:10" x14ac:dyDescent="0.25">
      <c r="B21" s="10"/>
      <c r="C21" s="10"/>
      <c r="D21" s="10"/>
      <c r="E21" s="10"/>
    </row>
    <row r="22" spans="2:10" x14ac:dyDescent="0.25">
      <c r="B22" s="10"/>
      <c r="C22" s="10"/>
      <c r="D22" s="10"/>
      <c r="E22" s="10"/>
    </row>
    <row r="23" spans="2:10" x14ac:dyDescent="0.25">
      <c r="B23" s="10"/>
      <c r="C23" s="10"/>
      <c r="D23" s="10"/>
      <c r="E23" s="10"/>
    </row>
  </sheetData>
  <mergeCells count="5">
    <mergeCell ref="F3:H3"/>
    <mergeCell ref="J3:K3"/>
    <mergeCell ref="F8:H8"/>
    <mergeCell ref="F12:H12"/>
    <mergeCell ref="F16:H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40"/>
  <sheetViews>
    <sheetView zoomScale="115" zoomScaleNormal="115" workbookViewId="0">
      <selection activeCell="G10" sqref="G10"/>
    </sheetView>
  </sheetViews>
  <sheetFormatPr defaultRowHeight="15" x14ac:dyDescent="0.25"/>
  <cols>
    <col min="1" max="1" width="5.7109375" customWidth="1"/>
    <col min="3" max="3" width="31" customWidth="1"/>
    <col min="4" max="4" width="35.28515625" customWidth="1"/>
    <col min="5" max="5" width="16.42578125" customWidth="1"/>
    <col min="6" max="6" width="17.140625" customWidth="1"/>
    <col min="7" max="7" width="27.140625" bestFit="1" customWidth="1"/>
    <col min="8" max="8" width="5.42578125" bestFit="1" customWidth="1"/>
    <col min="9" max="9" width="21.5703125" bestFit="1" customWidth="1"/>
    <col min="10" max="10" width="21" bestFit="1" customWidth="1"/>
    <col min="11" max="11" width="20.7109375" bestFit="1" customWidth="1"/>
    <col min="12" max="12" width="10" customWidth="1"/>
    <col min="14" max="14" width="11.28515625" customWidth="1"/>
  </cols>
  <sheetData>
    <row r="1" spans="2:16" ht="15.75" thickBot="1" x14ac:dyDescent="0.3"/>
    <row r="2" spans="2:16" ht="15.75" thickBot="1" x14ac:dyDescent="0.3">
      <c r="B2" s="242" t="s">
        <v>87</v>
      </c>
      <c r="C2" s="243"/>
      <c r="D2" s="243"/>
      <c r="E2" s="243"/>
      <c r="F2" s="185" t="s">
        <v>88</v>
      </c>
      <c r="G2" s="184">
        <v>8</v>
      </c>
      <c r="H2" s="186" t="s">
        <v>89</v>
      </c>
    </row>
    <row r="3" spans="2:16" ht="15.75" thickBot="1" x14ac:dyDescent="0.3">
      <c r="F3" s="185" t="s">
        <v>90</v>
      </c>
      <c r="G3" s="184">
        <v>5</v>
      </c>
      <c r="H3" s="14" t="s">
        <v>91</v>
      </c>
    </row>
    <row r="4" spans="2:16" ht="15.75" thickBot="1" x14ac:dyDescent="0.3">
      <c r="B4" s="238" t="s">
        <v>92</v>
      </c>
      <c r="C4" s="239"/>
      <c r="D4" s="239"/>
      <c r="E4" s="239"/>
      <c r="F4" s="240"/>
      <c r="G4" s="241"/>
    </row>
    <row r="5" spans="2:16" ht="15.75" thickBot="1" x14ac:dyDescent="0.3"/>
    <row r="6" spans="2:16" ht="15.75" thickBot="1" x14ac:dyDescent="0.3">
      <c r="B6" s="1" t="s">
        <v>93</v>
      </c>
      <c r="C6" s="2" t="s">
        <v>94</v>
      </c>
      <c r="D6" s="2" t="s">
        <v>95</v>
      </c>
      <c r="E6" s="2" t="s">
        <v>96</v>
      </c>
      <c r="F6" s="2" t="s">
        <v>97</v>
      </c>
      <c r="G6" s="3" t="s">
        <v>98</v>
      </c>
      <c r="I6" s="1" t="s">
        <v>96</v>
      </c>
      <c r="J6" s="2" t="s">
        <v>97</v>
      </c>
      <c r="K6" s="3" t="s">
        <v>67</v>
      </c>
      <c r="M6" s="176" t="s">
        <v>99</v>
      </c>
      <c r="N6" s="182">
        <f>$G$2*$G$3</f>
        <v>40</v>
      </c>
      <c r="O6" s="51">
        <f>N6*60</f>
        <v>2400</v>
      </c>
      <c r="P6" s="51" t="s">
        <v>100</v>
      </c>
    </row>
    <row r="7" spans="2:16" x14ac:dyDescent="0.25">
      <c r="B7" s="4">
        <v>1</v>
      </c>
      <c r="C7" s="5" t="s">
        <v>101</v>
      </c>
      <c r="D7" s="5" t="s">
        <v>102</v>
      </c>
      <c r="E7" s="5" t="s">
        <v>103</v>
      </c>
      <c r="F7" s="5" t="s">
        <v>104</v>
      </c>
      <c r="G7" s="6" t="s">
        <v>105</v>
      </c>
      <c r="I7" s="142">
        <v>1.3888888888888888E-2</v>
      </c>
      <c r="J7" s="142">
        <v>2.7777777777777776E-2</v>
      </c>
      <c r="K7" s="143">
        <v>4.1666666666666664E-2</v>
      </c>
      <c r="N7" s="176" t="s">
        <v>67</v>
      </c>
      <c r="O7" s="51">
        <f>K13</f>
        <v>395</v>
      </c>
      <c r="P7" s="51" t="s">
        <v>100</v>
      </c>
    </row>
    <row r="8" spans="2:16" x14ac:dyDescent="0.25">
      <c r="B8" s="4">
        <v>2</v>
      </c>
      <c r="C8" s="5" t="s">
        <v>106</v>
      </c>
      <c r="D8" s="5" t="s">
        <v>107</v>
      </c>
      <c r="E8" s="5" t="s">
        <v>108</v>
      </c>
      <c r="F8" s="5" t="s">
        <v>105</v>
      </c>
      <c r="G8" s="6" t="s">
        <v>109</v>
      </c>
      <c r="I8" s="139">
        <v>1.0416666666666666E-2</v>
      </c>
      <c r="J8" s="139">
        <v>4.1666666666666664E-2</v>
      </c>
      <c r="K8" s="144">
        <v>5.2083333333333336E-2</v>
      </c>
      <c r="N8" s="176" t="s">
        <v>33</v>
      </c>
      <c r="O8" s="177">
        <f>O6-O7</f>
        <v>2005</v>
      </c>
      <c r="P8" s="51" t="s">
        <v>100</v>
      </c>
    </row>
    <row r="9" spans="2:16" x14ac:dyDescent="0.25">
      <c r="B9" s="4">
        <v>3</v>
      </c>
      <c r="C9" s="5" t="s">
        <v>110</v>
      </c>
      <c r="D9" s="5" t="s">
        <v>111</v>
      </c>
      <c r="E9" s="5" t="s">
        <v>112</v>
      </c>
      <c r="F9" s="5" t="s">
        <v>113</v>
      </c>
      <c r="G9" s="6" t="s">
        <v>114</v>
      </c>
      <c r="I9" s="139">
        <v>1.7361111111111112E-2</v>
      </c>
      <c r="J9" s="139">
        <v>6.25E-2</v>
      </c>
      <c r="K9" s="144">
        <v>7.9861111111111105E-2</v>
      </c>
      <c r="M9" s="175" t="s">
        <v>115</v>
      </c>
      <c r="N9" s="178">
        <f>O7/N11</f>
        <v>79</v>
      </c>
    </row>
    <row r="10" spans="2:16" x14ac:dyDescent="0.25">
      <c r="B10" s="4">
        <v>4</v>
      </c>
      <c r="C10" s="5" t="s">
        <v>116</v>
      </c>
      <c r="D10" s="5" t="s">
        <v>117</v>
      </c>
      <c r="E10" s="5" t="s">
        <v>118</v>
      </c>
      <c r="F10" s="5" t="s">
        <v>119</v>
      </c>
      <c r="G10" s="6" t="s">
        <v>104</v>
      </c>
      <c r="I10" s="139">
        <v>6.9444444444444441E-3</v>
      </c>
      <c r="J10" s="139">
        <v>2.0833333333333332E-2</v>
      </c>
      <c r="K10" s="144">
        <v>2.7777777777777776E-2</v>
      </c>
      <c r="M10" s="175" t="s">
        <v>120</v>
      </c>
      <c r="N10" s="57">
        <f>O8/N11</f>
        <v>401</v>
      </c>
    </row>
    <row r="11" spans="2:16" ht="15.75" thickBot="1" x14ac:dyDescent="0.3">
      <c r="B11" s="7">
        <v>5</v>
      </c>
      <c r="C11" s="8" t="s">
        <v>121</v>
      </c>
      <c r="D11" s="8" t="s">
        <v>122</v>
      </c>
      <c r="E11" s="8" t="s">
        <v>108</v>
      </c>
      <c r="F11" s="8" t="s">
        <v>113</v>
      </c>
      <c r="G11" s="9" t="s">
        <v>123</v>
      </c>
      <c r="I11" s="140">
        <v>1.0416666666666666E-2</v>
      </c>
      <c r="J11" s="140">
        <v>6.25E-2</v>
      </c>
      <c r="K11" s="145">
        <v>7.2916666666666671E-2</v>
      </c>
      <c r="M11" s="175" t="s">
        <v>124</v>
      </c>
      <c r="N11" s="180">
        <f>COUNTA(K7:K11)</f>
        <v>5</v>
      </c>
    </row>
    <row r="12" spans="2:16" ht="16.5" thickBot="1" x14ac:dyDescent="0.3">
      <c r="B12" s="15"/>
      <c r="C12" s="15"/>
      <c r="D12" s="15"/>
      <c r="E12" s="15"/>
      <c r="F12" s="15"/>
      <c r="G12" s="15"/>
      <c r="I12" s="141">
        <f t="shared" ref="I12" si="0">SUM(I7:I11)</f>
        <v>5.9027777777777769E-2</v>
      </c>
      <c r="J12" s="141">
        <f t="shared" ref="J12" si="1">SUM(J7:J11)</f>
        <v>0.21527777777777779</v>
      </c>
      <c r="K12" s="141">
        <f t="shared" ref="K12" si="2">SUM(K7:K11)</f>
        <v>0.27430555555555558</v>
      </c>
      <c r="M12" s="179" t="s">
        <v>82</v>
      </c>
      <c r="N12" s="181">
        <f>N10/(N10+N9)</f>
        <v>0.8354166666666667</v>
      </c>
    </row>
    <row r="13" spans="2:16" ht="15.75" thickBot="1" x14ac:dyDescent="0.3">
      <c r="B13" s="235" t="s">
        <v>125</v>
      </c>
      <c r="C13" s="236"/>
      <c r="D13" s="236"/>
      <c r="E13" s="236"/>
      <c r="F13" s="236"/>
      <c r="G13" s="237"/>
      <c r="I13" s="146">
        <f>HOUR(I12)*60+MINUTE(I12)</f>
        <v>85</v>
      </c>
      <c r="J13" s="146">
        <f>HOUR(J12)*60+MINUTE(J12)</f>
        <v>310</v>
      </c>
      <c r="K13" s="146">
        <f>HOUR(K12)*60+MINUTE(K12)</f>
        <v>395</v>
      </c>
    </row>
    <row r="14" spans="2:16" ht="15.75" thickBot="1" x14ac:dyDescent="0.3"/>
    <row r="15" spans="2:16" ht="15.75" thickBot="1" x14ac:dyDescent="0.3">
      <c r="B15" s="1" t="s">
        <v>93</v>
      </c>
      <c r="C15" s="2" t="s">
        <v>94</v>
      </c>
      <c r="D15" s="2" t="s">
        <v>95</v>
      </c>
      <c r="E15" s="2" t="s">
        <v>96</v>
      </c>
      <c r="F15" s="2" t="s">
        <v>97</v>
      </c>
      <c r="G15" s="3" t="s">
        <v>98</v>
      </c>
      <c r="I15" s="1" t="s">
        <v>96</v>
      </c>
      <c r="J15" s="2" t="s">
        <v>97</v>
      </c>
      <c r="K15" s="3" t="s">
        <v>67</v>
      </c>
      <c r="M15" s="176" t="s">
        <v>99</v>
      </c>
      <c r="N15" s="182">
        <f>$G$2*$G$3</f>
        <v>40</v>
      </c>
      <c r="O15" s="51">
        <f>N15*60</f>
        <v>2400</v>
      </c>
      <c r="P15" s="51" t="s">
        <v>100</v>
      </c>
    </row>
    <row r="16" spans="2:16" x14ac:dyDescent="0.25">
      <c r="B16" s="4">
        <v>6</v>
      </c>
      <c r="C16" s="5" t="s">
        <v>126</v>
      </c>
      <c r="D16" s="5" t="s">
        <v>127</v>
      </c>
      <c r="E16" s="5" t="s">
        <v>128</v>
      </c>
      <c r="F16" s="5" t="s">
        <v>129</v>
      </c>
      <c r="G16" s="6" t="s">
        <v>130</v>
      </c>
      <c r="I16" s="143">
        <v>2.4305555555555556E-2</v>
      </c>
      <c r="J16" s="142">
        <v>8.3333333333333329E-2</v>
      </c>
      <c r="K16" s="143">
        <v>0.1076388888888889</v>
      </c>
      <c r="N16" s="176" t="s">
        <v>67</v>
      </c>
      <c r="O16" s="51">
        <f>K22</f>
        <v>593</v>
      </c>
      <c r="P16" s="51" t="s">
        <v>100</v>
      </c>
    </row>
    <row r="17" spans="2:16" x14ac:dyDescent="0.25">
      <c r="B17" s="4">
        <v>7</v>
      </c>
      <c r="C17" s="5" t="s">
        <v>116</v>
      </c>
      <c r="D17" s="5" t="s">
        <v>117</v>
      </c>
      <c r="E17" s="5" t="s">
        <v>108</v>
      </c>
      <c r="F17" s="5" t="s">
        <v>119</v>
      </c>
      <c r="G17" s="6" t="s">
        <v>131</v>
      </c>
      <c r="I17" s="144">
        <v>1.0416666666666666E-2</v>
      </c>
      <c r="J17" s="139">
        <v>2.0833333333333332E-2</v>
      </c>
      <c r="K17" s="144">
        <v>3.125E-2</v>
      </c>
      <c r="N17" s="176" t="s">
        <v>33</v>
      </c>
      <c r="O17" s="177">
        <f>O15-O16</f>
        <v>1807</v>
      </c>
      <c r="P17" s="51" t="s">
        <v>100</v>
      </c>
    </row>
    <row r="18" spans="2:16" x14ac:dyDescent="0.25">
      <c r="B18" s="4">
        <v>8</v>
      </c>
      <c r="C18" s="5" t="s">
        <v>132</v>
      </c>
      <c r="D18" s="5" t="s">
        <v>133</v>
      </c>
      <c r="E18" s="5" t="s">
        <v>103</v>
      </c>
      <c r="F18" s="5" t="s">
        <v>134</v>
      </c>
      <c r="G18" s="6" t="s">
        <v>135</v>
      </c>
      <c r="I18" s="144">
        <v>1.3888888888888888E-2</v>
      </c>
      <c r="J18" s="139">
        <v>0.125</v>
      </c>
      <c r="K18" s="144">
        <v>0.1388888888888889</v>
      </c>
      <c r="M18" s="175" t="s">
        <v>115</v>
      </c>
      <c r="N18" s="178">
        <f>O16/N20</f>
        <v>118.6</v>
      </c>
    </row>
    <row r="19" spans="2:16" x14ac:dyDescent="0.25">
      <c r="B19" s="4">
        <v>9</v>
      </c>
      <c r="C19" s="5" t="s">
        <v>136</v>
      </c>
      <c r="D19" s="5" t="s">
        <v>137</v>
      </c>
      <c r="E19" s="5" t="s">
        <v>118</v>
      </c>
      <c r="F19" s="5" t="s">
        <v>138</v>
      </c>
      <c r="G19" s="6" t="s">
        <v>113</v>
      </c>
      <c r="I19" s="144">
        <v>6.9444444444444441E-3</v>
      </c>
      <c r="J19" s="139">
        <v>5.5555555555555552E-2</v>
      </c>
      <c r="K19" s="144">
        <v>6.25E-2</v>
      </c>
      <c r="M19" s="175" t="s">
        <v>120</v>
      </c>
      <c r="N19" s="57">
        <f>O17/N20</f>
        <v>361.4</v>
      </c>
    </row>
    <row r="20" spans="2:16" ht="15.75" thickBot="1" x14ac:dyDescent="0.3">
      <c r="B20" s="7">
        <v>10</v>
      </c>
      <c r="C20" s="8" t="s">
        <v>121</v>
      </c>
      <c r="D20" s="8" t="s">
        <v>122</v>
      </c>
      <c r="E20" s="8" t="s">
        <v>139</v>
      </c>
      <c r="F20" s="8" t="s">
        <v>113</v>
      </c>
      <c r="G20" s="9" t="s">
        <v>140</v>
      </c>
      <c r="I20" s="145">
        <v>9.0277777777777787E-3</v>
      </c>
      <c r="J20" s="140">
        <v>6.25E-2</v>
      </c>
      <c r="K20" s="145">
        <v>7.1527777777777787E-2</v>
      </c>
      <c r="M20" s="175" t="s">
        <v>124</v>
      </c>
      <c r="N20" s="57">
        <f>COUNTA(K16:K20)</f>
        <v>5</v>
      </c>
    </row>
    <row r="21" spans="2:16" ht="16.5" thickBot="1" x14ac:dyDescent="0.3">
      <c r="I21" s="141">
        <f t="shared" ref="I21" si="3">SUM(I16:I20)</f>
        <v>6.4583333333333326E-2</v>
      </c>
      <c r="J21" s="141">
        <f t="shared" ref="J21" si="4">SUM(J16:J20)</f>
        <v>0.34722222222222221</v>
      </c>
      <c r="K21" s="141">
        <f t="shared" ref="K21" si="5">SUM(K16:K20)</f>
        <v>0.41180555555555559</v>
      </c>
      <c r="M21" s="179" t="s">
        <v>82</v>
      </c>
      <c r="N21" s="181">
        <f>N19/(N19+N18)</f>
        <v>0.75291666666666657</v>
      </c>
    </row>
    <row r="22" spans="2:16" ht="15.75" thickBot="1" x14ac:dyDescent="0.3">
      <c r="B22" s="235" t="s">
        <v>141</v>
      </c>
      <c r="C22" s="236"/>
      <c r="D22" s="236"/>
      <c r="E22" s="236"/>
      <c r="F22" s="236"/>
      <c r="G22" s="237"/>
      <c r="I22" s="146">
        <f>HOUR(I21)*60+MINUTE(I21)</f>
        <v>93</v>
      </c>
      <c r="J22" s="146">
        <f>HOUR(J21)*60+MINUTE(J21)</f>
        <v>500</v>
      </c>
      <c r="K22" s="146">
        <f>HOUR(K21)*60+MINUTE(K21)</f>
        <v>593</v>
      </c>
    </row>
    <row r="23" spans="2:16" ht="15.75" thickBot="1" x14ac:dyDescent="0.3">
      <c r="C23" s="10"/>
    </row>
    <row r="24" spans="2:16" ht="15.75" thickBot="1" x14ac:dyDescent="0.3">
      <c r="B24" s="1" t="s">
        <v>93</v>
      </c>
      <c r="C24" s="2" t="s">
        <v>94</v>
      </c>
      <c r="D24" s="2" t="s">
        <v>95</v>
      </c>
      <c r="E24" s="2" t="s">
        <v>96</v>
      </c>
      <c r="F24" s="2" t="s">
        <v>97</v>
      </c>
      <c r="G24" s="3" t="s">
        <v>98</v>
      </c>
      <c r="I24" s="147" t="s">
        <v>96</v>
      </c>
      <c r="J24" s="148" t="s">
        <v>97</v>
      </c>
      <c r="K24" s="149" t="s">
        <v>67</v>
      </c>
      <c r="M24" s="176" t="s">
        <v>99</v>
      </c>
      <c r="N24" s="182">
        <f>$G$2*$G$3</f>
        <v>40</v>
      </c>
      <c r="O24" s="51">
        <f>N24*60</f>
        <v>2400</v>
      </c>
      <c r="P24" s="51" t="s">
        <v>100</v>
      </c>
    </row>
    <row r="25" spans="2:16" x14ac:dyDescent="0.25">
      <c r="B25" s="4">
        <v>11</v>
      </c>
      <c r="C25" s="5" t="s">
        <v>116</v>
      </c>
      <c r="D25" s="5" t="s">
        <v>142</v>
      </c>
      <c r="E25" s="5" t="s">
        <v>103</v>
      </c>
      <c r="F25" s="5" t="s">
        <v>143</v>
      </c>
      <c r="G25" s="6" t="s">
        <v>113</v>
      </c>
      <c r="I25" s="139">
        <v>1.3888888888888888E-2</v>
      </c>
      <c r="J25" s="139">
        <v>4.8611111111111112E-2</v>
      </c>
      <c r="K25" s="144">
        <v>6.25E-2</v>
      </c>
      <c r="N25" s="176" t="s">
        <v>67</v>
      </c>
      <c r="O25" s="51">
        <f>K31</f>
        <v>330</v>
      </c>
      <c r="P25" s="51" t="s">
        <v>100</v>
      </c>
    </row>
    <row r="26" spans="2:16" x14ac:dyDescent="0.25">
      <c r="B26" s="4">
        <v>12</v>
      </c>
      <c r="C26" s="5" t="s">
        <v>144</v>
      </c>
      <c r="D26" s="5" t="s">
        <v>145</v>
      </c>
      <c r="E26" s="5" t="s">
        <v>146</v>
      </c>
      <c r="F26" s="5" t="s">
        <v>105</v>
      </c>
      <c r="G26" s="6" t="s">
        <v>147</v>
      </c>
      <c r="I26" s="139">
        <v>3.472222222222222E-3</v>
      </c>
      <c r="J26" s="139">
        <v>4.1666666666666664E-2</v>
      </c>
      <c r="K26" s="144">
        <v>4.5138888888888888E-2</v>
      </c>
      <c r="N26" s="176" t="s">
        <v>33</v>
      </c>
      <c r="O26" s="177">
        <f>O24-O25</f>
        <v>2070</v>
      </c>
      <c r="P26" s="51" t="s">
        <v>100</v>
      </c>
    </row>
    <row r="27" spans="2:16" x14ac:dyDescent="0.25">
      <c r="B27" s="4">
        <v>13</v>
      </c>
      <c r="C27" s="5" t="s">
        <v>148</v>
      </c>
      <c r="D27" s="5" t="s">
        <v>149</v>
      </c>
      <c r="E27" s="5" t="s">
        <v>150</v>
      </c>
      <c r="F27" s="5" t="s">
        <v>108</v>
      </c>
      <c r="G27" s="6" t="s">
        <v>151</v>
      </c>
      <c r="I27" s="139">
        <v>8.3333333333333332E-3</v>
      </c>
      <c r="J27" s="139">
        <v>1.0416666666666666E-2</v>
      </c>
      <c r="K27" s="144">
        <v>1.8749999999999999E-2</v>
      </c>
      <c r="M27" s="175" t="s">
        <v>115</v>
      </c>
      <c r="N27" s="178">
        <f>O25/N29</f>
        <v>66</v>
      </c>
    </row>
    <row r="28" spans="2:16" x14ac:dyDescent="0.25">
      <c r="B28" s="4">
        <v>14</v>
      </c>
      <c r="C28" s="5" t="s">
        <v>152</v>
      </c>
      <c r="D28" s="5" t="s">
        <v>153</v>
      </c>
      <c r="E28" s="5" t="s">
        <v>154</v>
      </c>
      <c r="F28" s="5" t="s">
        <v>119</v>
      </c>
      <c r="G28" s="6" t="s">
        <v>155</v>
      </c>
      <c r="I28" s="139">
        <v>7.6388888888888886E-3</v>
      </c>
      <c r="J28" s="139">
        <v>2.0833333333333332E-2</v>
      </c>
      <c r="K28" s="144">
        <v>2.8472222222222222E-2</v>
      </c>
      <c r="M28" s="175" t="s">
        <v>120</v>
      </c>
      <c r="N28" s="57">
        <f>O26/N29</f>
        <v>414</v>
      </c>
    </row>
    <row r="29" spans="2:16" ht="15.75" thickBot="1" x14ac:dyDescent="0.3">
      <c r="B29" s="7">
        <v>15</v>
      </c>
      <c r="C29" s="8" t="s">
        <v>156</v>
      </c>
      <c r="D29" s="8" t="s">
        <v>157</v>
      </c>
      <c r="E29" s="8" t="s">
        <v>158</v>
      </c>
      <c r="F29" s="8" t="s">
        <v>113</v>
      </c>
      <c r="G29" s="9" t="s">
        <v>159</v>
      </c>
      <c r="I29" s="140">
        <v>1.1805555555555555E-2</v>
      </c>
      <c r="J29" s="140">
        <v>6.25E-2</v>
      </c>
      <c r="K29" s="145">
        <v>7.4305555555555555E-2</v>
      </c>
      <c r="M29" s="175" t="s">
        <v>124</v>
      </c>
      <c r="N29" s="57">
        <f>COUNTA(K25:K29)</f>
        <v>5</v>
      </c>
    </row>
    <row r="30" spans="2:16" ht="16.5" thickBot="1" x14ac:dyDescent="0.3">
      <c r="I30" s="141">
        <f t="shared" ref="I30" si="6">SUM(I25:I29)</f>
        <v>4.5138888888888888E-2</v>
      </c>
      <c r="J30" s="141">
        <f t="shared" ref="J30" si="7">SUM(J25:J29)</f>
        <v>0.18402777777777779</v>
      </c>
      <c r="K30" s="141">
        <f t="shared" ref="K30" si="8">SUM(K25:K29)</f>
        <v>0.22916666666666669</v>
      </c>
      <c r="M30" s="179" t="s">
        <v>82</v>
      </c>
      <c r="N30" s="181">
        <f>N28/(N28+N27)</f>
        <v>0.86250000000000004</v>
      </c>
    </row>
    <row r="31" spans="2:16" ht="15.75" thickBot="1" x14ac:dyDescent="0.3">
      <c r="B31" s="235" t="s">
        <v>160</v>
      </c>
      <c r="C31" s="236"/>
      <c r="D31" s="236"/>
      <c r="E31" s="236"/>
      <c r="F31" s="236"/>
      <c r="G31" s="237"/>
      <c r="I31" s="146">
        <f>HOUR(I30)*60+MINUTE(I30)</f>
        <v>65</v>
      </c>
      <c r="J31" s="146">
        <f>HOUR(J30)*60+MINUTE(J30)</f>
        <v>265</v>
      </c>
      <c r="K31" s="146">
        <f>HOUR(K30)*60+MINUTE(K30)</f>
        <v>330</v>
      </c>
    </row>
    <row r="32" spans="2:16" ht="15.75" thickBot="1" x14ac:dyDescent="0.3">
      <c r="C32" s="10"/>
    </row>
    <row r="33" spans="2:16" ht="15.75" thickBot="1" x14ac:dyDescent="0.3">
      <c r="B33" s="1" t="s">
        <v>93</v>
      </c>
      <c r="C33" s="2" t="s">
        <v>94</v>
      </c>
      <c r="D33" s="2" t="s">
        <v>95</v>
      </c>
      <c r="E33" s="2" t="s">
        <v>96</v>
      </c>
      <c r="F33" s="2" t="s">
        <v>97</v>
      </c>
      <c r="G33" s="3" t="s">
        <v>98</v>
      </c>
      <c r="I33" s="1" t="s">
        <v>96</v>
      </c>
      <c r="J33" s="2" t="s">
        <v>97</v>
      </c>
      <c r="K33" s="3" t="s">
        <v>67</v>
      </c>
      <c r="M33" s="183" t="s">
        <v>99</v>
      </c>
      <c r="N33" s="182">
        <f>$G$2*$G$3</f>
        <v>40</v>
      </c>
      <c r="O33" s="51">
        <f>N33*60</f>
        <v>2400</v>
      </c>
      <c r="P33" s="51" t="s">
        <v>100</v>
      </c>
    </row>
    <row r="34" spans="2:16" x14ac:dyDescent="0.25">
      <c r="B34" s="4">
        <v>16</v>
      </c>
      <c r="C34" s="5" t="s">
        <v>161</v>
      </c>
      <c r="D34" s="5" t="s">
        <v>162</v>
      </c>
      <c r="E34" s="5" t="s">
        <v>163</v>
      </c>
      <c r="F34" s="5" t="s">
        <v>164</v>
      </c>
      <c r="G34" s="6" t="s">
        <v>165</v>
      </c>
      <c r="I34" s="142">
        <v>1.3888888888888888E-2</v>
      </c>
      <c r="J34" s="142">
        <v>2.7777777777777776E-2</v>
      </c>
      <c r="K34" s="143">
        <v>5.4166666666666669E-2</v>
      </c>
      <c r="N34" s="176" t="s">
        <v>67</v>
      </c>
      <c r="O34" s="51">
        <f>K40</f>
        <v>498</v>
      </c>
      <c r="P34" s="51" t="s">
        <v>100</v>
      </c>
    </row>
    <row r="35" spans="2:16" x14ac:dyDescent="0.25">
      <c r="B35" s="4">
        <v>17</v>
      </c>
      <c r="C35" s="5" t="s">
        <v>166</v>
      </c>
      <c r="D35" s="5" t="s">
        <v>167</v>
      </c>
      <c r="E35" s="5" t="s">
        <v>168</v>
      </c>
      <c r="F35" s="5" t="s">
        <v>169</v>
      </c>
      <c r="G35" s="6" t="s">
        <v>170</v>
      </c>
      <c r="I35" s="139">
        <v>1.0416666666666666E-2</v>
      </c>
      <c r="J35" s="139">
        <v>4.1666666666666664E-2</v>
      </c>
      <c r="K35" s="144">
        <v>3.5416666666666666E-2</v>
      </c>
      <c r="N35" s="176" t="s">
        <v>33</v>
      </c>
      <c r="O35" s="177">
        <f>O33-O34</f>
        <v>1902</v>
      </c>
      <c r="P35" s="51" t="s">
        <v>100</v>
      </c>
    </row>
    <row r="36" spans="2:16" x14ac:dyDescent="0.25">
      <c r="B36" s="4">
        <v>18</v>
      </c>
      <c r="C36" s="5" t="s">
        <v>171</v>
      </c>
      <c r="D36" s="5" t="s">
        <v>172</v>
      </c>
      <c r="E36" s="5" t="s">
        <v>158</v>
      </c>
      <c r="F36" s="5" t="s">
        <v>119</v>
      </c>
      <c r="G36" s="6" t="s">
        <v>173</v>
      </c>
      <c r="I36" s="139">
        <v>1.7361111111111112E-2</v>
      </c>
      <c r="J36" s="139">
        <v>6.25E-2</v>
      </c>
      <c r="K36" s="144">
        <v>3.2638888888888891E-2</v>
      </c>
      <c r="M36" s="175" t="s">
        <v>115</v>
      </c>
      <c r="N36" s="178">
        <f>O34/N38</f>
        <v>99.6</v>
      </c>
    </row>
    <row r="37" spans="2:16" x14ac:dyDescent="0.25">
      <c r="B37" s="4">
        <v>19</v>
      </c>
      <c r="C37" s="5" t="s">
        <v>152</v>
      </c>
      <c r="D37" s="5" t="s">
        <v>174</v>
      </c>
      <c r="E37" s="5" t="s">
        <v>168</v>
      </c>
      <c r="F37" s="5" t="s">
        <v>175</v>
      </c>
      <c r="G37" s="6" t="s">
        <v>176</v>
      </c>
      <c r="I37" s="139">
        <v>6.9444444444444441E-3</v>
      </c>
      <c r="J37" s="139">
        <v>2.0833333333333332E-2</v>
      </c>
      <c r="K37" s="144">
        <v>0.17222222222222225</v>
      </c>
      <c r="M37" s="175" t="s">
        <v>120</v>
      </c>
      <c r="N37" s="57">
        <f>O35/N38</f>
        <v>380.4</v>
      </c>
    </row>
    <row r="38" spans="2:16" ht="15.75" thickBot="1" x14ac:dyDescent="0.3">
      <c r="B38" s="7">
        <v>20</v>
      </c>
      <c r="C38" s="8" t="s">
        <v>177</v>
      </c>
      <c r="D38" s="8" t="s">
        <v>178</v>
      </c>
      <c r="E38" s="8" t="s">
        <v>179</v>
      </c>
      <c r="F38" s="8" t="s">
        <v>105</v>
      </c>
      <c r="G38" s="9" t="s">
        <v>180</v>
      </c>
      <c r="I38" s="140">
        <v>1.0416666666666666E-2</v>
      </c>
      <c r="J38" s="140">
        <v>6.25E-2</v>
      </c>
      <c r="K38" s="145">
        <v>5.1388888888888894E-2</v>
      </c>
      <c r="M38" s="175" t="s">
        <v>124</v>
      </c>
      <c r="N38" s="57">
        <f>COUNTA(K34:K38)</f>
        <v>5</v>
      </c>
    </row>
    <row r="39" spans="2:16" ht="16.5" thickBot="1" x14ac:dyDescent="0.3">
      <c r="I39" s="141">
        <f t="shared" ref="I39" si="9">SUM(I34:I38)</f>
        <v>5.9027777777777769E-2</v>
      </c>
      <c r="J39" s="141">
        <f t="shared" ref="J39" si="10">SUM(J34:J38)</f>
        <v>0.21527777777777779</v>
      </c>
      <c r="K39" s="141">
        <f t="shared" ref="K39" si="11">SUM(K34:K38)</f>
        <v>0.34583333333333338</v>
      </c>
      <c r="M39" s="179" t="s">
        <v>82</v>
      </c>
      <c r="N39" s="181">
        <f>N37/(N37+N36)</f>
        <v>0.79249999999999998</v>
      </c>
    </row>
    <row r="40" spans="2:16" x14ac:dyDescent="0.25">
      <c r="I40" s="146">
        <f>HOUR(I39)*60+MINUTE(I39)</f>
        <v>85</v>
      </c>
      <c r="J40" s="146">
        <f>HOUR(J39)*60+MINUTE(J39)</f>
        <v>310</v>
      </c>
      <c r="K40" s="146">
        <f>HOUR(K39)*60+MINUTE(K39)</f>
        <v>498</v>
      </c>
    </row>
  </sheetData>
  <mergeCells count="5">
    <mergeCell ref="B31:G31"/>
    <mergeCell ref="B4:G4"/>
    <mergeCell ref="B13:G13"/>
    <mergeCell ref="B22:G22"/>
    <mergeCell ref="B2:E2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A33"/>
  <sheetViews>
    <sheetView zoomScale="115" zoomScaleNormal="115" workbookViewId="0">
      <selection activeCell="K18" sqref="K18"/>
    </sheetView>
  </sheetViews>
  <sheetFormatPr defaultRowHeight="15" x14ac:dyDescent="0.25"/>
  <cols>
    <col min="1" max="1" width="5.7109375" customWidth="1"/>
    <col min="4" max="4" width="10.5703125" bestFit="1" customWidth="1"/>
    <col min="5" max="5" width="21.28515625" customWidth="1"/>
    <col min="6" max="6" width="12" bestFit="1" customWidth="1"/>
    <col min="7" max="7" width="13.140625" bestFit="1" customWidth="1"/>
    <col min="12" max="12" width="11.28515625" bestFit="1" customWidth="1"/>
    <col min="16" max="16" width="10.5703125" bestFit="1" customWidth="1"/>
    <col min="17" max="17" width="12.7109375" bestFit="1" customWidth="1"/>
    <col min="18" max="18" width="10.5703125" bestFit="1" customWidth="1"/>
    <col min="19" max="19" width="12.7109375" bestFit="1" customWidth="1"/>
    <col min="20" max="20" width="10.5703125" bestFit="1" customWidth="1"/>
    <col min="21" max="21" width="12.7109375" bestFit="1" customWidth="1"/>
    <col min="22" max="22" width="10.5703125" bestFit="1" customWidth="1"/>
    <col min="23" max="23" width="12.7109375" bestFit="1" customWidth="1"/>
    <col min="24" max="24" width="10.5703125" bestFit="1" customWidth="1"/>
    <col min="25" max="25" width="12.7109375" bestFit="1" customWidth="1"/>
    <col min="26" max="26" width="10.5703125" bestFit="1" customWidth="1"/>
    <col min="27" max="27" width="15" bestFit="1" customWidth="1"/>
  </cols>
  <sheetData>
    <row r="3" spans="2:27" x14ac:dyDescent="0.25">
      <c r="B3" s="12" t="s">
        <v>181</v>
      </c>
      <c r="F3" s="173">
        <v>8</v>
      </c>
    </row>
    <row r="4" spans="2:27" x14ac:dyDescent="0.25">
      <c r="B4" s="12" t="s">
        <v>182</v>
      </c>
      <c r="F4" s="173">
        <v>8</v>
      </c>
    </row>
    <row r="5" spans="2:27" x14ac:dyDescent="0.25">
      <c r="B5" s="12" t="s">
        <v>183</v>
      </c>
      <c r="F5" s="51">
        <f>F3*F4</f>
        <v>64</v>
      </c>
    </row>
    <row r="6" spans="2:27" x14ac:dyDescent="0.25">
      <c r="B6" s="12" t="s">
        <v>184</v>
      </c>
      <c r="F6" s="174">
        <v>0.55000000000000004</v>
      </c>
      <c r="L6" s="64"/>
    </row>
    <row r="7" spans="2:27" x14ac:dyDescent="0.25">
      <c r="B7" s="12" t="s">
        <v>185</v>
      </c>
      <c r="F7" s="63">
        <f>ROUNDUP(F6*F5,0)</f>
        <v>36</v>
      </c>
      <c r="L7" s="64"/>
    </row>
    <row r="8" spans="2:27" x14ac:dyDescent="0.25">
      <c r="B8" s="12" t="s">
        <v>186</v>
      </c>
      <c r="F8" s="10"/>
      <c r="L8" s="64"/>
    </row>
    <row r="9" spans="2:27" x14ac:dyDescent="0.25">
      <c r="B9" s="12" t="s">
        <v>187</v>
      </c>
      <c r="F9" s="10"/>
    </row>
    <row r="11" spans="2:27" ht="15.75" thickBot="1" x14ac:dyDescent="0.3"/>
    <row r="12" spans="2:27" ht="15" customHeight="1" thickBot="1" x14ac:dyDescent="0.3">
      <c r="C12" s="247" t="s">
        <v>188</v>
      </c>
      <c r="D12" s="248"/>
      <c r="E12" s="248"/>
      <c r="F12" s="248"/>
      <c r="G12" s="137"/>
    </row>
    <row r="13" spans="2:27" ht="15.75" customHeight="1" thickBot="1" x14ac:dyDescent="0.3">
      <c r="C13" s="249"/>
      <c r="D13" s="250"/>
      <c r="E13" s="250"/>
      <c r="F13" s="250"/>
      <c r="G13" s="138" t="s">
        <v>91</v>
      </c>
    </row>
    <row r="14" spans="2:27" ht="15.75" thickBot="1" x14ac:dyDescent="0.3">
      <c r="C14" s="244" t="s">
        <v>189</v>
      </c>
      <c r="D14" s="245"/>
      <c r="E14" s="246"/>
      <c r="F14" s="65">
        <v>927</v>
      </c>
      <c r="G14" s="66">
        <f>F14/F7</f>
        <v>25.75</v>
      </c>
    </row>
    <row r="15" spans="2:27" ht="15.75" thickBot="1" x14ac:dyDescent="0.3">
      <c r="C15" s="71" t="s">
        <v>190</v>
      </c>
      <c r="D15" s="187" t="s">
        <v>191</v>
      </c>
      <c r="E15" s="188" t="s">
        <v>192</v>
      </c>
      <c r="F15" s="13" t="s">
        <v>193</v>
      </c>
      <c r="G15" s="11" t="s">
        <v>194</v>
      </c>
      <c r="P15" s="226" t="s">
        <v>195</v>
      </c>
      <c r="Q15" s="226"/>
      <c r="R15" s="226" t="s">
        <v>196</v>
      </c>
      <c r="S15" s="226"/>
      <c r="T15" s="226" t="s">
        <v>197</v>
      </c>
      <c r="U15" s="226"/>
      <c r="V15" s="226" t="s">
        <v>198</v>
      </c>
      <c r="W15" s="226"/>
      <c r="X15" s="226" t="s">
        <v>199</v>
      </c>
      <c r="Y15" s="226"/>
      <c r="Z15" s="226" t="s">
        <v>200</v>
      </c>
      <c r="AA15" s="226"/>
    </row>
    <row r="16" spans="2:27" ht="15.75" thickBot="1" x14ac:dyDescent="0.3">
      <c r="C16" s="70">
        <v>1</v>
      </c>
      <c r="D16" s="189">
        <v>300</v>
      </c>
      <c r="E16" s="189">
        <v>11</v>
      </c>
      <c r="F16" s="61">
        <f>F14-(E16-D16)</f>
        <v>1216</v>
      </c>
      <c r="G16" s="62">
        <f>F16/$F$7</f>
        <v>33.777777777777779</v>
      </c>
      <c r="P16" s="187" t="s">
        <v>191</v>
      </c>
      <c r="Q16" s="188" t="s">
        <v>192</v>
      </c>
      <c r="R16" s="187" t="s">
        <v>191</v>
      </c>
      <c r="S16" s="188" t="s">
        <v>192</v>
      </c>
      <c r="T16" s="187" t="s">
        <v>191</v>
      </c>
      <c r="U16" s="188" t="s">
        <v>192</v>
      </c>
      <c r="V16" s="187" t="s">
        <v>191</v>
      </c>
      <c r="W16" s="188" t="s">
        <v>192</v>
      </c>
      <c r="X16" s="187" t="s">
        <v>191</v>
      </c>
      <c r="Y16" s="188" t="s">
        <v>192</v>
      </c>
      <c r="Z16" s="187" t="s">
        <v>191</v>
      </c>
      <c r="AA16" s="188" t="s">
        <v>192</v>
      </c>
    </row>
    <row r="17" spans="3:27" ht="15.75" thickBot="1" x14ac:dyDescent="0.3">
      <c r="C17" s="70">
        <v>2</v>
      </c>
      <c r="D17" s="189">
        <v>11</v>
      </c>
      <c r="E17" s="189">
        <v>450</v>
      </c>
      <c r="F17" s="61">
        <f>F16-(E17-D17)</f>
        <v>777</v>
      </c>
      <c r="G17" s="62">
        <f t="shared" ref="G17:G32" si="0">F17/$F$7</f>
        <v>21.583333333333332</v>
      </c>
      <c r="P17" s="190">
        <v>32</v>
      </c>
      <c r="Q17" s="190">
        <v>11</v>
      </c>
      <c r="R17" s="190">
        <v>43</v>
      </c>
      <c r="S17" s="190">
        <v>32</v>
      </c>
      <c r="T17" s="190">
        <v>32</v>
      </c>
      <c r="U17" s="190">
        <v>43</v>
      </c>
      <c r="V17" s="190">
        <v>32</v>
      </c>
      <c r="W17" s="190">
        <v>11</v>
      </c>
      <c r="X17" s="190">
        <v>32</v>
      </c>
      <c r="Y17" s="190">
        <v>11</v>
      </c>
      <c r="Z17" s="190">
        <v>300</v>
      </c>
      <c r="AA17" s="190">
        <v>11</v>
      </c>
    </row>
    <row r="18" spans="3:27" ht="15.75" thickBot="1" x14ac:dyDescent="0.3">
      <c r="C18" s="70">
        <v>3</v>
      </c>
      <c r="D18" s="189">
        <v>12</v>
      </c>
      <c r="E18" s="189">
        <v>1</v>
      </c>
      <c r="F18" s="61">
        <f t="shared" ref="F18:F32" si="1">F17-(E18-D18)</f>
        <v>788</v>
      </c>
      <c r="G18" s="62">
        <f t="shared" si="0"/>
        <v>21.888888888888889</v>
      </c>
      <c r="P18" s="190">
        <v>11</v>
      </c>
      <c r="Q18" s="190">
        <v>32</v>
      </c>
      <c r="R18" s="190">
        <v>32</v>
      </c>
      <c r="S18" s="190">
        <v>11</v>
      </c>
      <c r="T18" s="190">
        <v>11</v>
      </c>
      <c r="U18" s="190">
        <v>32</v>
      </c>
      <c r="V18" s="190">
        <v>11</v>
      </c>
      <c r="W18" s="190">
        <v>32</v>
      </c>
      <c r="X18" s="190">
        <v>11</v>
      </c>
      <c r="Y18" s="190">
        <v>32</v>
      </c>
      <c r="Z18" s="190">
        <v>11</v>
      </c>
      <c r="AA18" s="190">
        <v>450</v>
      </c>
    </row>
    <row r="19" spans="3:27" ht="15.75" thickBot="1" x14ac:dyDescent="0.3">
      <c r="C19" s="70">
        <v>4</v>
      </c>
      <c r="D19" s="189">
        <v>5</v>
      </c>
      <c r="E19" s="189">
        <v>30</v>
      </c>
      <c r="F19" s="61">
        <f t="shared" si="1"/>
        <v>763</v>
      </c>
      <c r="G19" s="62">
        <f t="shared" si="0"/>
        <v>21.194444444444443</v>
      </c>
      <c r="P19" s="190">
        <v>32</v>
      </c>
      <c r="Q19" s="190">
        <v>10</v>
      </c>
      <c r="R19" s="190">
        <v>54</v>
      </c>
      <c r="S19" s="190">
        <v>13</v>
      </c>
      <c r="T19" s="190">
        <v>13</v>
      </c>
      <c r="U19" s="190">
        <v>54</v>
      </c>
      <c r="V19" s="190">
        <v>32</v>
      </c>
      <c r="W19" s="190">
        <v>10</v>
      </c>
      <c r="X19" s="190">
        <v>32</v>
      </c>
      <c r="Y19" s="190">
        <v>10</v>
      </c>
      <c r="Z19" s="190">
        <v>12</v>
      </c>
      <c r="AA19" s="190">
        <v>1</v>
      </c>
    </row>
    <row r="20" spans="3:27" ht="15.75" thickBot="1" x14ac:dyDescent="0.3">
      <c r="C20" s="70">
        <v>5</v>
      </c>
      <c r="D20" s="189">
        <v>250</v>
      </c>
      <c r="E20" s="189">
        <v>6</v>
      </c>
      <c r="F20" s="61">
        <f t="shared" si="1"/>
        <v>1007</v>
      </c>
      <c r="G20" s="62">
        <f>F20/$F$7</f>
        <v>27.972222222222221</v>
      </c>
      <c r="P20" s="190">
        <v>10</v>
      </c>
      <c r="Q20" s="190">
        <v>30</v>
      </c>
      <c r="R20" s="190">
        <v>49</v>
      </c>
      <c r="S20" s="190">
        <v>10</v>
      </c>
      <c r="T20" s="190">
        <v>10</v>
      </c>
      <c r="U20" s="190">
        <v>49</v>
      </c>
      <c r="V20" s="190">
        <v>10</v>
      </c>
      <c r="W20" s="190">
        <v>30</v>
      </c>
      <c r="X20" s="190">
        <v>10</v>
      </c>
      <c r="Y20" s="190">
        <v>30</v>
      </c>
      <c r="Z20" s="190">
        <v>5</v>
      </c>
      <c r="AA20" s="190">
        <v>30</v>
      </c>
    </row>
    <row r="21" spans="3:27" ht="15.75" thickBot="1" x14ac:dyDescent="0.3">
      <c r="C21" s="70">
        <v>6</v>
      </c>
      <c r="D21" s="189">
        <v>5</v>
      </c>
      <c r="E21" s="189">
        <v>40</v>
      </c>
      <c r="F21" s="61">
        <f t="shared" si="1"/>
        <v>972</v>
      </c>
      <c r="G21" s="62">
        <f t="shared" si="0"/>
        <v>27</v>
      </c>
      <c r="P21" s="190">
        <v>32</v>
      </c>
      <c r="Q21" s="190">
        <v>15</v>
      </c>
      <c r="R21" s="190">
        <v>48</v>
      </c>
      <c r="S21" s="190">
        <v>12</v>
      </c>
      <c r="T21" s="190">
        <v>12</v>
      </c>
      <c r="U21" s="190">
        <v>48</v>
      </c>
      <c r="V21" s="190">
        <v>32</v>
      </c>
      <c r="W21" s="190">
        <v>15</v>
      </c>
      <c r="X21" s="190">
        <v>32</v>
      </c>
      <c r="Y21" s="190">
        <v>15</v>
      </c>
      <c r="Z21" s="190">
        <v>250</v>
      </c>
      <c r="AA21" s="190">
        <v>6</v>
      </c>
    </row>
    <row r="22" spans="3:27" ht="15.75" thickBot="1" x14ac:dyDescent="0.3">
      <c r="C22" s="70">
        <v>7</v>
      </c>
      <c r="D22" s="189">
        <v>250</v>
      </c>
      <c r="E22" s="189">
        <v>5</v>
      </c>
      <c r="F22" s="61">
        <f t="shared" si="1"/>
        <v>1217</v>
      </c>
      <c r="G22" s="62">
        <f t="shared" si="0"/>
        <v>33.805555555555557</v>
      </c>
      <c r="P22" s="190">
        <v>13</v>
      </c>
      <c r="Q22" s="190">
        <v>32</v>
      </c>
      <c r="R22" s="190">
        <v>32</v>
      </c>
      <c r="S22" s="190">
        <v>13</v>
      </c>
      <c r="T22" s="190">
        <v>13</v>
      </c>
      <c r="U22" s="190">
        <v>32</v>
      </c>
      <c r="V22" s="190">
        <v>150</v>
      </c>
      <c r="W22" s="190">
        <v>32</v>
      </c>
      <c r="X22" s="190">
        <v>13</v>
      </c>
      <c r="Y22" s="190">
        <v>250</v>
      </c>
      <c r="Z22" s="190">
        <v>5</v>
      </c>
      <c r="AA22" s="190">
        <v>40</v>
      </c>
    </row>
    <row r="23" spans="3:27" ht="15.75" thickBot="1" x14ac:dyDescent="0.3">
      <c r="C23" s="70">
        <v>8</v>
      </c>
      <c r="D23" s="189">
        <v>13</v>
      </c>
      <c r="E23" s="189">
        <v>330</v>
      </c>
      <c r="F23" s="61">
        <f t="shared" si="1"/>
        <v>900</v>
      </c>
      <c r="G23" s="62">
        <f t="shared" si="0"/>
        <v>25</v>
      </c>
      <c r="P23" s="190">
        <v>30</v>
      </c>
      <c r="Q23" s="190">
        <v>12</v>
      </c>
      <c r="R23" s="190">
        <v>35</v>
      </c>
      <c r="S23" s="190">
        <v>19</v>
      </c>
      <c r="T23" s="190">
        <v>19</v>
      </c>
      <c r="U23" s="190">
        <v>35</v>
      </c>
      <c r="V23" s="190">
        <v>300</v>
      </c>
      <c r="W23" s="190">
        <v>12</v>
      </c>
      <c r="X23" s="190">
        <v>30</v>
      </c>
      <c r="Y23" s="190">
        <v>120</v>
      </c>
      <c r="Z23" s="190">
        <v>250</v>
      </c>
      <c r="AA23" s="190">
        <v>5</v>
      </c>
    </row>
    <row r="24" spans="3:27" ht="15.75" thickBot="1" x14ac:dyDescent="0.3">
      <c r="C24" s="70">
        <v>9</v>
      </c>
      <c r="D24" s="189">
        <v>400</v>
      </c>
      <c r="E24" s="189">
        <v>10</v>
      </c>
      <c r="F24" s="61">
        <f t="shared" si="1"/>
        <v>1290</v>
      </c>
      <c r="G24" s="62">
        <f t="shared" si="0"/>
        <v>35.833333333333336</v>
      </c>
      <c r="P24" s="190">
        <v>13</v>
      </c>
      <c r="Q24" s="190">
        <v>33</v>
      </c>
      <c r="R24" s="190">
        <v>33</v>
      </c>
      <c r="S24" s="190">
        <v>13</v>
      </c>
      <c r="T24" s="190">
        <v>13</v>
      </c>
      <c r="U24" s="190">
        <v>33</v>
      </c>
      <c r="V24" s="190">
        <v>180</v>
      </c>
      <c r="W24" s="190">
        <v>33</v>
      </c>
      <c r="X24" s="190">
        <v>13</v>
      </c>
      <c r="Y24" s="190">
        <v>150</v>
      </c>
      <c r="Z24" s="190">
        <v>13</v>
      </c>
      <c r="AA24" s="190">
        <v>330</v>
      </c>
    </row>
    <row r="25" spans="3:27" ht="15.75" thickBot="1" x14ac:dyDescent="0.3">
      <c r="C25" s="70">
        <v>10</v>
      </c>
      <c r="D25" s="189">
        <v>17</v>
      </c>
      <c r="E25" s="189">
        <v>250</v>
      </c>
      <c r="F25" s="61">
        <f t="shared" si="1"/>
        <v>1057</v>
      </c>
      <c r="G25" s="62">
        <f t="shared" si="0"/>
        <v>29.361111111111111</v>
      </c>
      <c r="P25" s="190">
        <v>30</v>
      </c>
      <c r="Q25" s="190">
        <v>10</v>
      </c>
      <c r="R25" s="190">
        <v>32</v>
      </c>
      <c r="S25" s="190">
        <v>13</v>
      </c>
      <c r="T25" s="190">
        <v>13</v>
      </c>
      <c r="U25" s="190">
        <v>32</v>
      </c>
      <c r="V25" s="190">
        <v>200</v>
      </c>
      <c r="W25" s="190">
        <v>10</v>
      </c>
      <c r="X25" s="190">
        <v>30</v>
      </c>
      <c r="Y25" s="190">
        <v>80</v>
      </c>
      <c r="Z25" s="190">
        <v>400</v>
      </c>
      <c r="AA25" s="190">
        <v>10</v>
      </c>
    </row>
    <row r="26" spans="3:27" ht="15.75" thickBot="1" x14ac:dyDescent="0.3">
      <c r="C26" s="70">
        <v>11</v>
      </c>
      <c r="D26" s="189">
        <v>35</v>
      </c>
      <c r="E26" s="189">
        <v>5</v>
      </c>
      <c r="F26" s="61">
        <f t="shared" si="1"/>
        <v>1087</v>
      </c>
      <c r="G26" s="62">
        <f t="shared" si="0"/>
        <v>30.194444444444443</v>
      </c>
      <c r="P26" s="190">
        <v>17</v>
      </c>
      <c r="Q26" s="190">
        <v>33</v>
      </c>
      <c r="R26" s="190">
        <v>33</v>
      </c>
      <c r="S26" s="190">
        <v>17</v>
      </c>
      <c r="T26" s="190">
        <v>17</v>
      </c>
      <c r="U26" s="190">
        <v>33</v>
      </c>
      <c r="V26" s="190">
        <v>17</v>
      </c>
      <c r="W26" s="190">
        <v>33</v>
      </c>
      <c r="X26" s="190">
        <v>17</v>
      </c>
      <c r="Y26" s="190">
        <v>33</v>
      </c>
      <c r="Z26" s="190">
        <v>17</v>
      </c>
      <c r="AA26" s="190">
        <v>250</v>
      </c>
    </row>
    <row r="27" spans="3:27" ht="15.75" thickBot="1" x14ac:dyDescent="0.3">
      <c r="C27" s="70">
        <v>12</v>
      </c>
      <c r="D27" s="189">
        <v>19</v>
      </c>
      <c r="E27" s="189">
        <v>500</v>
      </c>
      <c r="F27" s="61">
        <f t="shared" si="1"/>
        <v>606</v>
      </c>
      <c r="G27" s="62">
        <f t="shared" si="0"/>
        <v>16.833333333333332</v>
      </c>
      <c r="P27" s="190">
        <v>30</v>
      </c>
      <c r="Q27" s="190">
        <v>15</v>
      </c>
      <c r="R27" s="190">
        <v>41</v>
      </c>
      <c r="S27" s="190">
        <v>15</v>
      </c>
      <c r="T27" s="190">
        <v>15</v>
      </c>
      <c r="U27" s="190">
        <v>41</v>
      </c>
      <c r="V27" s="190">
        <v>30</v>
      </c>
      <c r="W27" s="190">
        <v>15</v>
      </c>
      <c r="X27" s="190">
        <v>30</v>
      </c>
      <c r="Y27" s="190">
        <v>15</v>
      </c>
      <c r="Z27" s="190">
        <v>35</v>
      </c>
      <c r="AA27" s="190">
        <v>5</v>
      </c>
    </row>
    <row r="28" spans="3:27" ht="15.75" thickBot="1" x14ac:dyDescent="0.3">
      <c r="C28" s="70">
        <v>13</v>
      </c>
      <c r="D28" s="189">
        <v>450</v>
      </c>
      <c r="E28" s="189">
        <v>5</v>
      </c>
      <c r="F28" s="61">
        <f t="shared" si="1"/>
        <v>1051</v>
      </c>
      <c r="G28" s="62">
        <f t="shared" si="0"/>
        <v>29.194444444444443</v>
      </c>
      <c r="P28" s="190">
        <v>19</v>
      </c>
      <c r="Q28" s="190">
        <v>37</v>
      </c>
      <c r="R28" s="190">
        <v>37</v>
      </c>
      <c r="S28" s="190">
        <v>19</v>
      </c>
      <c r="T28" s="190">
        <v>19</v>
      </c>
      <c r="U28" s="190">
        <v>37</v>
      </c>
      <c r="V28" s="190">
        <v>19</v>
      </c>
      <c r="W28" s="190">
        <v>37</v>
      </c>
      <c r="X28" s="190">
        <v>19</v>
      </c>
      <c r="Y28" s="190">
        <v>37</v>
      </c>
      <c r="Z28" s="190">
        <v>19</v>
      </c>
      <c r="AA28" s="190">
        <v>500</v>
      </c>
    </row>
    <row r="29" spans="3:27" ht="15.75" thickBot="1" x14ac:dyDescent="0.3">
      <c r="C29" s="70">
        <v>14</v>
      </c>
      <c r="D29" s="189">
        <v>29</v>
      </c>
      <c r="E29" s="189">
        <v>29</v>
      </c>
      <c r="F29" s="61">
        <f t="shared" si="1"/>
        <v>1051</v>
      </c>
      <c r="G29" s="62">
        <f t="shared" si="0"/>
        <v>29.194444444444443</v>
      </c>
      <c r="P29" s="190">
        <v>28</v>
      </c>
      <c r="Q29" s="190">
        <v>12</v>
      </c>
      <c r="R29" s="190">
        <v>37</v>
      </c>
      <c r="S29" s="190">
        <v>18</v>
      </c>
      <c r="T29" s="190">
        <v>18</v>
      </c>
      <c r="U29" s="190">
        <v>37</v>
      </c>
      <c r="V29" s="190">
        <v>28</v>
      </c>
      <c r="W29" s="190">
        <v>12</v>
      </c>
      <c r="X29" s="190">
        <v>28</v>
      </c>
      <c r="Y29" s="190">
        <v>12</v>
      </c>
      <c r="Z29" s="190">
        <v>450</v>
      </c>
      <c r="AA29" s="190">
        <v>5</v>
      </c>
    </row>
    <row r="30" spans="3:27" ht="15.75" thickBot="1" x14ac:dyDescent="0.3">
      <c r="C30" s="70">
        <v>15</v>
      </c>
      <c r="D30" s="189">
        <v>12</v>
      </c>
      <c r="E30" s="189">
        <v>12</v>
      </c>
      <c r="F30" s="61">
        <f t="shared" si="1"/>
        <v>1051</v>
      </c>
      <c r="G30" s="62">
        <f t="shared" si="0"/>
        <v>29.194444444444443</v>
      </c>
      <c r="P30" s="190">
        <v>29</v>
      </c>
      <c r="Q30" s="190">
        <v>38</v>
      </c>
      <c r="R30" s="190">
        <v>38</v>
      </c>
      <c r="S30" s="190">
        <v>14</v>
      </c>
      <c r="T30" s="190">
        <v>14</v>
      </c>
      <c r="U30" s="190">
        <v>38</v>
      </c>
      <c r="V30" s="190">
        <v>29</v>
      </c>
      <c r="W30" s="190">
        <v>38</v>
      </c>
      <c r="X30" s="190">
        <v>29</v>
      </c>
      <c r="Y30" s="190">
        <v>38</v>
      </c>
      <c r="Z30" s="190">
        <v>29</v>
      </c>
      <c r="AA30" s="190">
        <v>29</v>
      </c>
    </row>
    <row r="31" spans="3:27" ht="15.75" thickBot="1" x14ac:dyDescent="0.3">
      <c r="C31" s="70">
        <v>16</v>
      </c>
      <c r="D31" s="189">
        <v>350</v>
      </c>
      <c r="E31" s="189">
        <v>5</v>
      </c>
      <c r="F31" s="61">
        <f t="shared" si="1"/>
        <v>1396</v>
      </c>
      <c r="G31" s="62">
        <f t="shared" si="0"/>
        <v>38.777777777777779</v>
      </c>
      <c r="P31" s="190">
        <v>12</v>
      </c>
      <c r="Q31" s="190">
        <v>12</v>
      </c>
      <c r="R31" s="190">
        <v>41</v>
      </c>
      <c r="S31" s="190">
        <v>12</v>
      </c>
      <c r="T31" s="190">
        <v>12</v>
      </c>
      <c r="U31" s="190">
        <v>41</v>
      </c>
      <c r="V31" s="190">
        <v>12</v>
      </c>
      <c r="W31" s="190">
        <v>12</v>
      </c>
      <c r="X31" s="190">
        <v>12</v>
      </c>
      <c r="Y31" s="190">
        <v>12</v>
      </c>
      <c r="Z31" s="190">
        <v>12</v>
      </c>
      <c r="AA31" s="190">
        <v>12</v>
      </c>
    </row>
    <row r="32" spans="3:27" ht="15.75" thickBot="1" x14ac:dyDescent="0.3">
      <c r="C32" s="70">
        <v>17</v>
      </c>
      <c r="D32" s="189">
        <v>16</v>
      </c>
      <c r="E32" s="189">
        <v>400</v>
      </c>
      <c r="F32" s="61">
        <f t="shared" si="1"/>
        <v>1012</v>
      </c>
      <c r="G32" s="62">
        <f t="shared" si="0"/>
        <v>28.111111111111111</v>
      </c>
      <c r="P32" s="190">
        <v>28</v>
      </c>
      <c r="Q32" s="190">
        <v>10</v>
      </c>
      <c r="R32" s="190">
        <v>32</v>
      </c>
      <c r="S32" s="190">
        <v>18</v>
      </c>
      <c r="T32" s="190">
        <v>18</v>
      </c>
      <c r="U32" s="190">
        <v>32</v>
      </c>
      <c r="V32" s="190">
        <v>28</v>
      </c>
      <c r="W32" s="190">
        <v>10</v>
      </c>
      <c r="X32" s="190">
        <v>28</v>
      </c>
      <c r="Y32" s="190">
        <v>10</v>
      </c>
      <c r="Z32" s="190">
        <v>350</v>
      </c>
      <c r="AA32" s="190">
        <v>5</v>
      </c>
    </row>
    <row r="33" spans="16:27" x14ac:dyDescent="0.25">
      <c r="P33" s="190">
        <v>16</v>
      </c>
      <c r="Q33" s="190">
        <v>39</v>
      </c>
      <c r="R33" s="190">
        <v>39</v>
      </c>
      <c r="S33" s="190">
        <v>16</v>
      </c>
      <c r="T33" s="190">
        <v>16</v>
      </c>
      <c r="U33" s="190">
        <v>39</v>
      </c>
      <c r="V33" s="190">
        <v>16</v>
      </c>
      <c r="W33" s="190">
        <v>39</v>
      </c>
      <c r="X33" s="190">
        <v>16</v>
      </c>
      <c r="Y33" s="190">
        <v>39</v>
      </c>
      <c r="Z33" s="190">
        <v>16</v>
      </c>
      <c r="AA33" s="190">
        <v>400</v>
      </c>
    </row>
  </sheetData>
  <mergeCells count="8">
    <mergeCell ref="V15:W15"/>
    <mergeCell ref="X15:Y15"/>
    <mergeCell ref="Z15:AA15"/>
    <mergeCell ref="C14:E14"/>
    <mergeCell ref="C12:F13"/>
    <mergeCell ref="P15:Q15"/>
    <mergeCell ref="R15:S15"/>
    <mergeCell ref="T15:U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15"/>
  <sheetViews>
    <sheetView showGridLines="0" zoomScale="115" zoomScaleNormal="115" workbookViewId="0">
      <selection activeCell="O9" sqref="O9"/>
    </sheetView>
  </sheetViews>
  <sheetFormatPr defaultRowHeight="15" x14ac:dyDescent="0.25"/>
  <cols>
    <col min="1" max="1" width="1.5703125" customWidth="1"/>
    <col min="2" max="2" width="9" bestFit="1" customWidth="1"/>
    <col min="3" max="3" width="15.28515625" customWidth="1"/>
    <col min="4" max="4" width="15.85546875" customWidth="1"/>
    <col min="5" max="5" width="17.7109375" bestFit="1" customWidth="1"/>
    <col min="6" max="6" width="2.85546875" customWidth="1"/>
    <col min="7" max="7" width="10.85546875" customWidth="1"/>
    <col min="8" max="8" width="2.85546875" customWidth="1"/>
    <col min="9" max="9" width="9.28515625" customWidth="1"/>
    <col min="10" max="10" width="9.140625" style="15"/>
    <col min="11" max="11" width="3.5703125" customWidth="1"/>
    <col min="12" max="12" width="7.28515625" bestFit="1" customWidth="1"/>
    <col min="13" max="13" width="11" bestFit="1" customWidth="1"/>
    <col min="14" max="14" width="7.7109375" bestFit="1" customWidth="1"/>
    <col min="15" max="15" width="6" bestFit="1" customWidth="1"/>
    <col min="16" max="16" width="7.5703125" bestFit="1" customWidth="1"/>
    <col min="17" max="17" width="3.85546875" customWidth="1"/>
    <col min="18" max="18" width="15.140625" bestFit="1" customWidth="1"/>
  </cols>
  <sheetData>
    <row r="1" spans="2:18" ht="15.75" thickBot="1" x14ac:dyDescent="0.3"/>
    <row r="2" spans="2:18" ht="30.75" customHeight="1" thickBot="1" x14ac:dyDescent="0.55000000000000004">
      <c r="B2" s="150" t="s">
        <v>201</v>
      </c>
      <c r="C2" s="151"/>
      <c r="D2" s="151"/>
      <c r="E2" s="152"/>
      <c r="M2" s="251" t="s">
        <v>202</v>
      </c>
      <c r="N2" s="252"/>
      <c r="O2" s="252"/>
    </row>
    <row r="3" spans="2:18" ht="19.5" thickBot="1" x14ac:dyDescent="0.35">
      <c r="B3" s="16" t="s">
        <v>203</v>
      </c>
      <c r="C3" s="16" t="s">
        <v>204</v>
      </c>
      <c r="D3" s="16" t="s">
        <v>205</v>
      </c>
      <c r="E3" s="16" t="s">
        <v>206</v>
      </c>
      <c r="G3" s="17" t="s">
        <v>207</v>
      </c>
      <c r="I3" s="17" t="s">
        <v>208</v>
      </c>
      <c r="J3" s="18" t="s">
        <v>209</v>
      </c>
      <c r="L3" s="163" t="s">
        <v>210</v>
      </c>
      <c r="M3" s="164">
        <v>0</v>
      </c>
      <c r="N3" s="10"/>
      <c r="O3" s="164">
        <v>0</v>
      </c>
    </row>
    <row r="4" spans="2:18" ht="16.5" thickBot="1" x14ac:dyDescent="0.3">
      <c r="B4" s="19">
        <v>7</v>
      </c>
      <c r="C4" s="19">
        <v>250</v>
      </c>
      <c r="D4" s="20">
        <v>1200</v>
      </c>
      <c r="E4" s="21">
        <f t="shared" ref="E4:E13" si="0">C4*D4</f>
        <v>300000</v>
      </c>
      <c r="F4" s="22"/>
      <c r="G4" s="23">
        <f t="shared" ref="G4:G13" si="1">(E4/$E$14)</f>
        <v>0.42247570764681031</v>
      </c>
      <c r="H4" s="22"/>
      <c r="I4" s="24">
        <f>G4</f>
        <v>0.42247570764681031</v>
      </c>
      <c r="J4" s="136" t="str">
        <f>IF(I4&lt;=$M$4,"A",IF(I4&lt;=$M$5,"B","C"))</f>
        <v>A</v>
      </c>
      <c r="L4" s="136" t="s">
        <v>211</v>
      </c>
      <c r="M4" s="169">
        <f>N4</f>
        <v>0.7</v>
      </c>
      <c r="N4" s="171">
        <v>0.7</v>
      </c>
      <c r="O4" s="168">
        <f>N6</f>
        <v>0.10000000000000003</v>
      </c>
      <c r="P4" s="165">
        <f>COUNTIF(J4:J13,L4)/COUNTA(J4:J13)</f>
        <v>0.2</v>
      </c>
      <c r="Q4" s="136" t="str">
        <f>L4</f>
        <v>A</v>
      </c>
      <c r="R4" s="158">
        <f>SUMIF($J$4:$J$13,"A",$E$4:$E$13)</f>
        <v>430000</v>
      </c>
    </row>
    <row r="5" spans="2:18" ht="16.5" thickBot="1" x14ac:dyDescent="0.3">
      <c r="B5" s="19">
        <v>5</v>
      </c>
      <c r="C5" s="19">
        <v>65000</v>
      </c>
      <c r="D5" s="20">
        <v>2</v>
      </c>
      <c r="E5" s="21">
        <f t="shared" si="0"/>
        <v>130000</v>
      </c>
      <c r="F5" s="25"/>
      <c r="G5" s="26">
        <f t="shared" si="1"/>
        <v>0.18307280664695114</v>
      </c>
      <c r="H5" s="25"/>
      <c r="I5" s="27">
        <f>I4+G5</f>
        <v>0.60554851429376144</v>
      </c>
      <c r="J5" s="136" t="str">
        <f t="shared" ref="J5:J13" si="2">IF(I5&lt;=$M$4,"A",IF(I5&lt;=$M$5,"B","C"))</f>
        <v>A</v>
      </c>
      <c r="L5" s="136" t="s">
        <v>212</v>
      </c>
      <c r="M5" s="169">
        <f>N5+N4</f>
        <v>0.89999999999999991</v>
      </c>
      <c r="N5" s="172">
        <v>0.2</v>
      </c>
      <c r="O5" s="168">
        <f>N5</f>
        <v>0.2</v>
      </c>
      <c r="P5" s="166">
        <f>COUNTIF(J4:J13,L5)/COUNTA(J4:J13)</f>
        <v>0.3</v>
      </c>
      <c r="Q5" s="136" t="str">
        <f t="shared" ref="Q5:Q6" si="3">L5</f>
        <v>B</v>
      </c>
      <c r="R5" s="159">
        <f>SUMIF($J$4:$J$13,"B",$E$4:$E$13)</f>
        <v>191250</v>
      </c>
    </row>
    <row r="6" spans="2:18" ht="16.5" thickBot="1" x14ac:dyDescent="0.3">
      <c r="B6" s="19">
        <v>3</v>
      </c>
      <c r="C6" s="19">
        <v>2500</v>
      </c>
      <c r="D6" s="20">
        <v>30</v>
      </c>
      <c r="E6" s="21">
        <f t="shared" si="0"/>
        <v>75000</v>
      </c>
      <c r="F6" s="22"/>
      <c r="G6" s="23">
        <f t="shared" si="1"/>
        <v>0.10561892691170258</v>
      </c>
      <c r="H6" s="22"/>
      <c r="I6" s="24">
        <f t="shared" ref="I6:I13" si="4">I5+G6</f>
        <v>0.71116744120546405</v>
      </c>
      <c r="J6" s="136" t="str">
        <f t="shared" si="2"/>
        <v>B</v>
      </c>
      <c r="L6" s="136" t="s">
        <v>213</v>
      </c>
      <c r="M6" s="170">
        <f>N4+N5+N6</f>
        <v>1</v>
      </c>
      <c r="N6" s="162">
        <f>1-N4-N5</f>
        <v>0.10000000000000003</v>
      </c>
      <c r="O6" s="154">
        <f>N4</f>
        <v>0.7</v>
      </c>
      <c r="P6" s="167">
        <f>COUNTIF(J4:J13,L6)/COUNTA(J4:J13)</f>
        <v>0.5</v>
      </c>
      <c r="Q6" s="136" t="str">
        <f t="shared" si="3"/>
        <v>C</v>
      </c>
      <c r="R6" s="160">
        <f>SUMIF($J$4:$J$13,"C",$E$4:$E$13)</f>
        <v>88850</v>
      </c>
    </row>
    <row r="7" spans="2:18" ht="16.5" thickBot="1" x14ac:dyDescent="0.3">
      <c r="B7" s="19">
        <v>1</v>
      </c>
      <c r="C7" s="19">
        <v>20000</v>
      </c>
      <c r="D7" s="20">
        <v>3.5</v>
      </c>
      <c r="E7" s="21">
        <f t="shared" si="0"/>
        <v>70000</v>
      </c>
      <c r="F7" s="25"/>
      <c r="G7" s="26">
        <f t="shared" si="1"/>
        <v>9.8577665117589072E-2</v>
      </c>
      <c r="H7" s="25"/>
      <c r="I7" s="27">
        <f t="shared" si="4"/>
        <v>0.80974510632305308</v>
      </c>
      <c r="J7" s="136" t="str">
        <f t="shared" si="2"/>
        <v>B</v>
      </c>
      <c r="M7" s="161">
        <v>1</v>
      </c>
      <c r="O7" s="161">
        <v>1</v>
      </c>
    </row>
    <row r="8" spans="2:18" ht="16.5" thickBot="1" x14ac:dyDescent="0.3">
      <c r="B8" s="19">
        <v>9</v>
      </c>
      <c r="C8" s="19">
        <v>5000</v>
      </c>
      <c r="D8" s="20">
        <v>9.25</v>
      </c>
      <c r="E8" s="21">
        <f t="shared" si="0"/>
        <v>46250</v>
      </c>
      <c r="F8" s="22"/>
      <c r="G8" s="23">
        <f t="shared" si="1"/>
        <v>6.5131671595549917E-2</v>
      </c>
      <c r="H8" s="22"/>
      <c r="I8" s="24">
        <f t="shared" si="4"/>
        <v>0.87487677791860297</v>
      </c>
      <c r="J8" s="136" t="str">
        <f t="shared" si="2"/>
        <v>B</v>
      </c>
      <c r="N8" s="157" t="s">
        <v>214</v>
      </c>
      <c r="O8" s="157"/>
      <c r="P8" s="157" t="s">
        <v>215</v>
      </c>
      <c r="R8" s="157" t="s">
        <v>216</v>
      </c>
    </row>
    <row r="9" spans="2:18" ht="15.75" x14ac:dyDescent="0.25">
      <c r="B9" s="28">
        <v>10</v>
      </c>
      <c r="C9" s="28">
        <v>3000</v>
      </c>
      <c r="D9" s="29">
        <v>12.9</v>
      </c>
      <c r="E9" s="30">
        <f t="shared" si="0"/>
        <v>38700</v>
      </c>
      <c r="F9" s="25"/>
      <c r="G9" s="26">
        <f t="shared" si="1"/>
        <v>5.4499366286438533E-2</v>
      </c>
      <c r="H9" s="25"/>
      <c r="I9" s="27">
        <f t="shared" si="4"/>
        <v>0.92937614420504144</v>
      </c>
      <c r="J9" s="136" t="str">
        <f t="shared" si="2"/>
        <v>C</v>
      </c>
    </row>
    <row r="10" spans="2:18" ht="15.75" x14ac:dyDescent="0.25">
      <c r="B10" s="28">
        <v>4</v>
      </c>
      <c r="C10" s="28">
        <v>5000</v>
      </c>
      <c r="D10" s="29">
        <v>4.2</v>
      </c>
      <c r="E10" s="30">
        <f t="shared" si="0"/>
        <v>21000</v>
      </c>
      <c r="F10" s="22"/>
      <c r="G10" s="23">
        <f t="shared" si="1"/>
        <v>2.9573299535276723E-2</v>
      </c>
      <c r="H10" s="22"/>
      <c r="I10" s="24">
        <f t="shared" si="4"/>
        <v>0.95894944374031821</v>
      </c>
      <c r="J10" s="136" t="str">
        <f t="shared" si="2"/>
        <v>C</v>
      </c>
      <c r="M10" s="161"/>
      <c r="N10" s="161"/>
      <c r="O10" s="161"/>
    </row>
    <row r="11" spans="2:18" ht="15.75" x14ac:dyDescent="0.25">
      <c r="B11" s="28">
        <v>2</v>
      </c>
      <c r="C11" s="28">
        <v>4000</v>
      </c>
      <c r="D11" s="29">
        <v>3.8</v>
      </c>
      <c r="E11" s="155">
        <f t="shared" si="0"/>
        <v>15200</v>
      </c>
      <c r="F11" s="25"/>
      <c r="G11" s="26">
        <f t="shared" si="1"/>
        <v>2.1405435854105054E-2</v>
      </c>
      <c r="H11" s="25"/>
      <c r="I11" s="27">
        <f t="shared" si="4"/>
        <v>0.98035487959442325</v>
      </c>
      <c r="J11" s="136" t="str">
        <f t="shared" si="2"/>
        <v>C</v>
      </c>
      <c r="M11" s="161"/>
      <c r="N11" s="161"/>
      <c r="O11" s="161"/>
    </row>
    <row r="12" spans="2:18" ht="15.75" x14ac:dyDescent="0.25">
      <c r="B12" s="28">
        <v>8</v>
      </c>
      <c r="C12" s="28">
        <v>2000</v>
      </c>
      <c r="D12" s="29">
        <v>4.5</v>
      </c>
      <c r="E12" s="30">
        <f t="shared" si="0"/>
        <v>9000</v>
      </c>
      <c r="F12" s="22"/>
      <c r="G12" s="23">
        <f t="shared" si="1"/>
        <v>1.2674271229404309E-2</v>
      </c>
      <c r="H12" s="22"/>
      <c r="I12" s="24">
        <f t="shared" si="4"/>
        <v>0.99302915082382759</v>
      </c>
      <c r="J12" s="136" t="str">
        <f t="shared" si="2"/>
        <v>C</v>
      </c>
      <c r="M12" s="161"/>
      <c r="N12" s="161"/>
      <c r="O12" s="161"/>
    </row>
    <row r="13" spans="2:18" ht="16.5" thickBot="1" x14ac:dyDescent="0.3">
      <c r="B13" s="28">
        <v>6</v>
      </c>
      <c r="C13" s="28">
        <v>500</v>
      </c>
      <c r="D13" s="31">
        <v>9.9</v>
      </c>
      <c r="E13" s="156">
        <f t="shared" si="0"/>
        <v>4950</v>
      </c>
      <c r="F13" s="25"/>
      <c r="G13" s="26">
        <f t="shared" si="1"/>
        <v>6.9708491761723704E-3</v>
      </c>
      <c r="H13" s="25"/>
      <c r="I13" s="27">
        <f t="shared" si="4"/>
        <v>1</v>
      </c>
      <c r="J13" s="136" t="str">
        <f t="shared" si="2"/>
        <v>C</v>
      </c>
      <c r="M13" s="161"/>
      <c r="N13" s="161"/>
      <c r="O13" s="161"/>
    </row>
    <row r="14" spans="2:18" ht="19.5" thickBot="1" x14ac:dyDescent="0.35">
      <c r="B14" s="153"/>
      <c r="C14" s="153"/>
      <c r="D14" s="32" t="s">
        <v>217</v>
      </c>
      <c r="E14" s="33">
        <f>SUM(E4:E13)</f>
        <v>710100</v>
      </c>
      <c r="F14" s="22"/>
      <c r="G14" s="34">
        <f>SUM(G4:G13)</f>
        <v>1</v>
      </c>
      <c r="H14" s="22"/>
      <c r="I14" s="22"/>
      <c r="M14" s="161"/>
      <c r="N14" s="161"/>
      <c r="O14" s="161"/>
    </row>
    <row r="15" spans="2:18" ht="15.75" x14ac:dyDescent="0.25">
      <c r="B15" s="35"/>
      <c r="C15" s="35"/>
      <c r="D15" s="35"/>
      <c r="J15"/>
    </row>
  </sheetData>
  <sortState ref="B4:E13">
    <sortCondition descending="1" ref="E3"/>
  </sortState>
  <mergeCells count="1">
    <mergeCell ref="M2:O2"/>
  </mergeCells>
  <conditionalFormatting sqref="J4:J13"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L4:L5">
    <cfRule type="cellIs" dxfId="17" priority="16" operator="equal">
      <formula>"C"</formula>
    </cfRule>
    <cfRule type="cellIs" dxfId="16" priority="17" operator="equal">
      <formula>"B"</formula>
    </cfRule>
    <cfRule type="cellIs" dxfId="15" priority="18" operator="equal">
      <formula>"A"</formula>
    </cfRule>
  </conditionalFormatting>
  <conditionalFormatting sqref="L6">
    <cfRule type="cellIs" dxfId="14" priority="10" operator="equal">
      <formula>"C"</formula>
    </cfRule>
    <cfRule type="cellIs" dxfId="13" priority="11" operator="equal">
      <formula>"B"</formula>
    </cfRule>
    <cfRule type="cellIs" dxfId="12" priority="12" operator="equal">
      <formula>"A"</formula>
    </cfRule>
  </conditionalFormatting>
  <conditionalFormatting sqref="Q4">
    <cfRule type="cellIs" dxfId="11" priority="7" operator="equal">
      <formula>"C"</formula>
    </cfRule>
    <cfRule type="cellIs" dxfId="10" priority="8" operator="equal">
      <formula>"B"</formula>
    </cfRule>
    <cfRule type="cellIs" dxfId="9" priority="9" operator="equal">
      <formula>"A"</formula>
    </cfRule>
  </conditionalFormatting>
  <conditionalFormatting sqref="Q6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conditionalFormatting sqref="Q5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33"/>
  <sheetViews>
    <sheetView zoomScale="130" zoomScaleNormal="130" workbookViewId="0">
      <selection activeCell="F9" sqref="F9"/>
    </sheetView>
  </sheetViews>
  <sheetFormatPr defaultRowHeight="15" x14ac:dyDescent="0.25"/>
  <cols>
    <col min="7" max="7" width="15.7109375" customWidth="1"/>
    <col min="10" max="10" width="9.7109375" customWidth="1"/>
  </cols>
  <sheetData>
    <row r="2" spans="2:13" ht="15.75" x14ac:dyDescent="0.25">
      <c r="B2" s="39"/>
      <c r="C2" s="40" t="s">
        <v>218</v>
      </c>
      <c r="D2" s="37"/>
      <c r="E2" s="37"/>
      <c r="F2" s="37"/>
      <c r="G2" s="38" t="s">
        <v>219</v>
      </c>
      <c r="H2" s="37"/>
      <c r="K2" s="38" t="s">
        <v>220</v>
      </c>
    </row>
    <row r="3" spans="2:13" ht="15.75" x14ac:dyDescent="0.25">
      <c r="B3" s="37"/>
      <c r="C3" s="36" t="s">
        <v>29</v>
      </c>
      <c r="D3" s="37"/>
      <c r="E3" s="37"/>
      <c r="F3" s="37"/>
      <c r="G3" s="41" t="s">
        <v>14</v>
      </c>
      <c r="H3" s="37"/>
      <c r="K3" s="36" t="s">
        <v>221</v>
      </c>
    </row>
    <row r="4" spans="2:13" ht="15.75" x14ac:dyDescent="0.25">
      <c r="B4" s="37"/>
      <c r="C4" s="37"/>
      <c r="D4" s="37"/>
      <c r="E4" s="37"/>
      <c r="F4" s="37"/>
      <c r="G4" s="37"/>
      <c r="H4" s="37"/>
    </row>
    <row r="5" spans="2:13" ht="15.75" x14ac:dyDescent="0.25">
      <c r="B5" s="37"/>
      <c r="C5" s="38" t="s">
        <v>222</v>
      </c>
      <c r="D5" s="37"/>
      <c r="E5" s="37"/>
      <c r="F5" s="38"/>
      <c r="G5" s="38" t="s">
        <v>223</v>
      </c>
      <c r="H5" s="38"/>
      <c r="K5" s="38" t="s">
        <v>224</v>
      </c>
    </row>
    <row r="6" spans="2:13" ht="15.75" x14ac:dyDescent="0.25">
      <c r="B6" s="37"/>
      <c r="C6" s="36" t="s">
        <v>4</v>
      </c>
      <c r="D6" s="38"/>
      <c r="E6" s="37"/>
      <c r="F6" s="38"/>
      <c r="G6" s="36" t="s">
        <v>225</v>
      </c>
      <c r="H6" s="38"/>
      <c r="K6" s="36" t="s">
        <v>226</v>
      </c>
    </row>
    <row r="7" spans="2:13" ht="15.75" x14ac:dyDescent="0.25">
      <c r="B7" s="37"/>
      <c r="C7" s="36" t="s">
        <v>5</v>
      </c>
      <c r="D7" s="37"/>
      <c r="E7" s="38"/>
      <c r="F7" s="38"/>
      <c r="G7" s="37"/>
      <c r="H7" s="38"/>
    </row>
    <row r="8" spans="2:13" ht="15.75" x14ac:dyDescent="0.25">
      <c r="B8" s="37"/>
      <c r="C8" s="37"/>
      <c r="D8" s="38"/>
      <c r="E8" s="38"/>
      <c r="F8" s="38"/>
      <c r="G8" s="38" t="s">
        <v>227</v>
      </c>
      <c r="H8" s="38"/>
      <c r="K8" s="36" t="s">
        <v>71</v>
      </c>
    </row>
    <row r="9" spans="2:13" ht="15.75" x14ac:dyDescent="0.25">
      <c r="C9" s="36" t="s">
        <v>4</v>
      </c>
      <c r="G9" s="42" t="s">
        <v>35</v>
      </c>
      <c r="H9" s="38"/>
      <c r="K9" s="36" t="s">
        <v>69</v>
      </c>
    </row>
    <row r="10" spans="2:13" ht="15.75" x14ac:dyDescent="0.25">
      <c r="B10" s="193" t="s">
        <v>21</v>
      </c>
      <c r="C10" s="45" t="s">
        <v>228</v>
      </c>
      <c r="D10" s="45" t="s">
        <v>229</v>
      </c>
      <c r="F10" s="44"/>
      <c r="G10" s="43" t="s">
        <v>27</v>
      </c>
      <c r="H10" s="38"/>
      <c r="K10" s="36" t="s">
        <v>64</v>
      </c>
    </row>
    <row r="11" spans="2:13" ht="15.75" x14ac:dyDescent="0.25">
      <c r="B11" s="51">
        <f>C11-D11</f>
        <v>470</v>
      </c>
      <c r="C11" s="49">
        <f>C14</f>
        <v>540</v>
      </c>
      <c r="D11" s="49">
        <f>D14+E14</f>
        <v>70</v>
      </c>
      <c r="E11" s="15"/>
      <c r="F11" s="15"/>
      <c r="G11" s="38"/>
      <c r="H11" s="38"/>
    </row>
    <row r="12" spans="2:13" ht="15.75" x14ac:dyDescent="0.25">
      <c r="B12" s="15"/>
      <c r="C12" s="36" t="s">
        <v>5</v>
      </c>
      <c r="D12" s="15"/>
      <c r="E12" s="15"/>
      <c r="F12" s="15"/>
      <c r="G12" s="230" t="s">
        <v>6</v>
      </c>
      <c r="H12" s="231"/>
      <c r="K12" s="136" t="s">
        <v>61</v>
      </c>
      <c r="L12" s="136" t="s">
        <v>62</v>
      </c>
      <c r="M12" s="136" t="s">
        <v>63</v>
      </c>
    </row>
    <row r="13" spans="2:13" x14ac:dyDescent="0.25">
      <c r="B13" s="53" t="s">
        <v>21</v>
      </c>
      <c r="C13" s="53" t="s">
        <v>228</v>
      </c>
      <c r="D13" s="193" t="s">
        <v>230</v>
      </c>
      <c r="E13" s="193" t="s">
        <v>231</v>
      </c>
      <c r="F13" s="15"/>
      <c r="G13" s="46" t="s">
        <v>232</v>
      </c>
      <c r="H13" s="46" t="s">
        <v>12</v>
      </c>
      <c r="K13" s="47">
        <v>8</v>
      </c>
      <c r="L13" s="47">
        <v>14</v>
      </c>
      <c r="M13" s="49">
        <f>K13*L13</f>
        <v>112</v>
      </c>
    </row>
    <row r="14" spans="2:13" x14ac:dyDescent="0.25">
      <c r="B14" s="51">
        <f>C14-(D14+E14)</f>
        <v>470</v>
      </c>
      <c r="C14" s="14">
        <v>540</v>
      </c>
      <c r="D14" s="47">
        <v>20</v>
      </c>
      <c r="E14" s="47">
        <v>50</v>
      </c>
      <c r="F14" s="15"/>
      <c r="G14" s="50">
        <v>0.375</v>
      </c>
      <c r="H14" s="49">
        <f>(HOUR(G14)*60+MINUTE(G14))</f>
        <v>540</v>
      </c>
      <c r="K14" s="47">
        <v>6</v>
      </c>
      <c r="L14" s="47">
        <v>10</v>
      </c>
      <c r="M14" s="49">
        <f t="shared" ref="M14:M21" si="0">K14*L14</f>
        <v>60</v>
      </c>
    </row>
    <row r="15" spans="2:13" ht="15.75" x14ac:dyDescent="0.25">
      <c r="C15" s="36" t="s">
        <v>233</v>
      </c>
      <c r="D15" s="15"/>
      <c r="E15" s="15"/>
      <c r="F15" s="15"/>
      <c r="G15" s="15"/>
      <c r="H15" s="15"/>
      <c r="K15" s="47">
        <v>4</v>
      </c>
      <c r="L15" s="47">
        <v>23</v>
      </c>
      <c r="M15" s="49">
        <f t="shared" si="0"/>
        <v>92</v>
      </c>
    </row>
    <row r="16" spans="2:13" ht="15.75" x14ac:dyDescent="0.25">
      <c r="B16" s="46" t="s">
        <v>48</v>
      </c>
      <c r="C16" s="46" t="s">
        <v>49</v>
      </c>
      <c r="D16" s="193" t="s">
        <v>50</v>
      </c>
      <c r="E16" s="15"/>
      <c r="F16" s="15"/>
      <c r="G16" s="15"/>
      <c r="H16" s="36" t="s">
        <v>64</v>
      </c>
      <c r="K16" s="47">
        <v>2</v>
      </c>
      <c r="L16" s="47">
        <v>26</v>
      </c>
      <c r="M16" s="49">
        <f t="shared" si="0"/>
        <v>52</v>
      </c>
    </row>
    <row r="17" spans="2:13" x14ac:dyDescent="0.25">
      <c r="B17" s="54">
        <f>C17/D17</f>
        <v>0.90384615384615385</v>
      </c>
      <c r="C17" s="51">
        <f>B14</f>
        <v>470</v>
      </c>
      <c r="D17" s="49">
        <f>B20</f>
        <v>520</v>
      </c>
      <c r="E17" s="15"/>
      <c r="F17" s="15"/>
      <c r="G17" s="193" t="s">
        <v>21</v>
      </c>
      <c r="H17" s="46" t="s">
        <v>9</v>
      </c>
      <c r="I17" s="46" t="s">
        <v>67</v>
      </c>
      <c r="K17" s="47">
        <v>1</v>
      </c>
      <c r="L17" s="47">
        <v>40</v>
      </c>
      <c r="M17" s="49">
        <f t="shared" si="0"/>
        <v>40</v>
      </c>
    </row>
    <row r="18" spans="2:13" ht="15.75" x14ac:dyDescent="0.25">
      <c r="C18" s="41" t="s">
        <v>14</v>
      </c>
      <c r="D18" s="15"/>
      <c r="E18" s="15"/>
      <c r="F18" s="15"/>
      <c r="G18" s="49">
        <f>H18-I18</f>
        <v>5844</v>
      </c>
      <c r="H18" s="47">
        <v>6200</v>
      </c>
      <c r="I18" s="49">
        <f>M24</f>
        <v>356</v>
      </c>
      <c r="K18" s="47"/>
      <c r="L18" s="47"/>
      <c r="M18" s="49">
        <f t="shared" si="0"/>
        <v>0</v>
      </c>
    </row>
    <row r="19" spans="2:13" ht="15.75" x14ac:dyDescent="0.25">
      <c r="B19" s="53" t="s">
        <v>234</v>
      </c>
      <c r="C19" s="53" t="s">
        <v>37</v>
      </c>
      <c r="D19" s="193" t="s">
        <v>38</v>
      </c>
      <c r="E19" s="15"/>
      <c r="F19" s="15"/>
      <c r="G19" s="15"/>
      <c r="H19" s="36" t="s">
        <v>71</v>
      </c>
      <c r="K19" s="47"/>
      <c r="L19" s="47"/>
      <c r="M19" s="49">
        <f t="shared" si="0"/>
        <v>0</v>
      </c>
    </row>
    <row r="20" spans="2:13" x14ac:dyDescent="0.25">
      <c r="B20" s="51">
        <f>C20-D20</f>
        <v>520</v>
      </c>
      <c r="C20" s="51">
        <f>C14</f>
        <v>540</v>
      </c>
      <c r="D20" s="49">
        <f>D14</f>
        <v>20</v>
      </c>
      <c r="E20" s="15"/>
      <c r="F20" s="15"/>
      <c r="G20" s="193" t="s">
        <v>120</v>
      </c>
      <c r="H20" s="48" t="s">
        <v>49</v>
      </c>
      <c r="I20" s="48" t="s">
        <v>235</v>
      </c>
      <c r="K20" s="47"/>
      <c r="L20" s="47"/>
      <c r="M20" s="49">
        <f t="shared" si="0"/>
        <v>0</v>
      </c>
    </row>
    <row r="21" spans="2:13" ht="15.75" x14ac:dyDescent="0.25">
      <c r="C21" s="43" t="s">
        <v>236</v>
      </c>
      <c r="D21" s="15"/>
      <c r="E21" s="15"/>
      <c r="F21" s="15"/>
      <c r="G21" s="58">
        <f>H21/I21</f>
        <v>278.28571428571428</v>
      </c>
      <c r="H21" s="57">
        <f>G18</f>
        <v>5844</v>
      </c>
      <c r="I21" s="57">
        <f>K24</f>
        <v>21</v>
      </c>
      <c r="K21" s="47"/>
      <c r="L21" s="47"/>
      <c r="M21" s="49">
        <f t="shared" si="0"/>
        <v>0</v>
      </c>
    </row>
    <row r="22" spans="2:13" ht="15.75" x14ac:dyDescent="0.25">
      <c r="B22" s="53" t="s">
        <v>30</v>
      </c>
      <c r="C22" s="53" t="s">
        <v>31</v>
      </c>
      <c r="D22" s="193" t="s">
        <v>237</v>
      </c>
      <c r="E22" s="193" t="s">
        <v>238</v>
      </c>
      <c r="F22" s="15"/>
      <c r="G22" s="15"/>
      <c r="H22" s="36" t="s">
        <v>69</v>
      </c>
      <c r="K22" s="47"/>
      <c r="L22" s="47"/>
      <c r="M22" s="49">
        <f>K21*L21</f>
        <v>0</v>
      </c>
    </row>
    <row r="23" spans="2:13" ht="15.75" x14ac:dyDescent="0.25">
      <c r="B23" s="54">
        <f>(C23*D23)/E23</f>
        <v>0.85106382978723405</v>
      </c>
      <c r="C23" s="14">
        <v>400</v>
      </c>
      <c r="D23" s="47">
        <v>1</v>
      </c>
      <c r="E23" s="49">
        <f>B14</f>
        <v>470</v>
      </c>
      <c r="F23" s="56" t="str">
        <f>IF(B23&gt;1,"NÚMERO DE MÁQUINAS INSUFICIENTE","OK")</f>
        <v>OK</v>
      </c>
      <c r="G23" s="193" t="s">
        <v>115</v>
      </c>
      <c r="H23" s="48" t="s">
        <v>76</v>
      </c>
      <c r="I23" s="48" t="s">
        <v>235</v>
      </c>
      <c r="K23" s="60" t="s">
        <v>235</v>
      </c>
      <c r="L23" s="53"/>
      <c r="M23" s="60" t="s">
        <v>67</v>
      </c>
    </row>
    <row r="24" spans="2:13" ht="15.75" x14ac:dyDescent="0.25">
      <c r="C24" s="36" t="s">
        <v>239</v>
      </c>
      <c r="D24" s="15"/>
      <c r="E24" s="15"/>
      <c r="F24" s="15"/>
      <c r="G24" s="59">
        <f>H24/I24</f>
        <v>16.952380952380953</v>
      </c>
      <c r="H24" s="57">
        <f>I18</f>
        <v>356</v>
      </c>
      <c r="I24" s="57">
        <f>I21</f>
        <v>21</v>
      </c>
      <c r="K24" s="49">
        <f>SUM(K13:K19)</f>
        <v>21</v>
      </c>
      <c r="L24" s="193"/>
      <c r="M24" s="49">
        <f>SUM(M13:M19)</f>
        <v>356</v>
      </c>
    </row>
    <row r="25" spans="2:13" ht="15.75" x14ac:dyDescent="0.25">
      <c r="B25" s="46" t="s">
        <v>240</v>
      </c>
      <c r="C25" s="46" t="s">
        <v>241</v>
      </c>
      <c r="D25" s="193" t="s">
        <v>242</v>
      </c>
      <c r="E25" s="193" t="s">
        <v>243</v>
      </c>
      <c r="F25" s="15"/>
      <c r="H25" s="36" t="s">
        <v>244</v>
      </c>
    </row>
    <row r="26" spans="2:13" x14ac:dyDescent="0.25">
      <c r="B26" s="54">
        <f>(C26-D26)/E26</f>
        <v>0.8</v>
      </c>
      <c r="C26" s="51">
        <f>C23</f>
        <v>400</v>
      </c>
      <c r="D26" s="14">
        <v>80</v>
      </c>
      <c r="E26" s="51">
        <f>C23</f>
        <v>400</v>
      </c>
      <c r="G26" s="46" t="s">
        <v>245</v>
      </c>
      <c r="H26" s="46" t="s">
        <v>246</v>
      </c>
      <c r="I26" s="46" t="s">
        <v>247</v>
      </c>
      <c r="J26" s="46" t="s">
        <v>248</v>
      </c>
    </row>
    <row r="27" spans="2:13" ht="15.75" x14ac:dyDescent="0.25">
      <c r="C27" s="36" t="s">
        <v>249</v>
      </c>
      <c r="G27" s="54">
        <f>H27/(I27+J27)</f>
        <v>0.94258064516129025</v>
      </c>
      <c r="H27" s="51">
        <f>G21</f>
        <v>278.28571428571428</v>
      </c>
      <c r="I27" s="51">
        <f>G21</f>
        <v>278.28571428571428</v>
      </c>
      <c r="J27" s="51">
        <f>G24</f>
        <v>16.952380952380953</v>
      </c>
    </row>
    <row r="28" spans="2:13" x14ac:dyDescent="0.25">
      <c r="B28" s="53" t="s">
        <v>250</v>
      </c>
      <c r="C28" s="53" t="s">
        <v>54</v>
      </c>
      <c r="D28" s="53" t="s">
        <v>251</v>
      </c>
      <c r="E28" s="53" t="s">
        <v>252</v>
      </c>
      <c r="G28" s="15"/>
    </row>
    <row r="29" spans="2:13" x14ac:dyDescent="0.25">
      <c r="B29" s="55">
        <f>B17*B23*B26</f>
        <v>0.61538461538461542</v>
      </c>
      <c r="C29" s="55">
        <f>B17</f>
        <v>0.90384615384615385</v>
      </c>
      <c r="D29" s="55">
        <f>B23</f>
        <v>0.85106382978723405</v>
      </c>
      <c r="E29" s="55">
        <f>B26</f>
        <v>0.8</v>
      </c>
      <c r="G29" s="15"/>
    </row>
    <row r="30" spans="2:13" x14ac:dyDescent="0.25">
      <c r="G30" s="15"/>
    </row>
    <row r="31" spans="2:13" x14ac:dyDescent="0.25">
      <c r="F31" s="52" t="s">
        <v>253</v>
      </c>
      <c r="G31" s="52" t="s">
        <v>89</v>
      </c>
    </row>
    <row r="32" spans="2:13" x14ac:dyDescent="0.25">
      <c r="F32" s="46">
        <v>9</v>
      </c>
      <c r="G32" s="46">
        <v>12</v>
      </c>
    </row>
    <row r="33" spans="6:7" x14ac:dyDescent="0.25">
      <c r="F33" s="46">
        <f>F32*G32</f>
        <v>108</v>
      </c>
      <c r="G33" s="46"/>
    </row>
  </sheetData>
  <mergeCells count="1">
    <mergeCell ref="G12:H12"/>
  </mergeCells>
  <conditionalFormatting sqref="B23">
    <cfRule type="cellIs" dxfId="2" priority="1" operator="greater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5"/>
  <sheetViews>
    <sheetView zoomScale="130" zoomScaleNormal="130" workbookViewId="0">
      <selection activeCell="P13" sqref="P13"/>
    </sheetView>
  </sheetViews>
  <sheetFormatPr defaultRowHeight="15" x14ac:dyDescent="0.25"/>
  <cols>
    <col min="1" max="2" width="3" customWidth="1"/>
    <col min="3" max="3" width="4.140625" bestFit="1" customWidth="1"/>
    <col min="4" max="5" width="5.85546875" bestFit="1" customWidth="1"/>
    <col min="6" max="6" width="6" customWidth="1"/>
    <col min="7" max="7" width="6.7109375" customWidth="1"/>
    <col min="8" max="8" width="8.5703125" bestFit="1" customWidth="1"/>
    <col min="9" max="9" width="11" bestFit="1" customWidth="1"/>
    <col min="10" max="11" width="12.7109375" bestFit="1" customWidth="1"/>
    <col min="12" max="12" width="12.42578125" bestFit="1" customWidth="1"/>
    <col min="13" max="13" width="2.28515625" customWidth="1"/>
    <col min="14" max="14" width="10.28515625" bestFit="1" customWidth="1"/>
    <col min="15" max="15" width="7.140625" bestFit="1" customWidth="1"/>
    <col min="16" max="16" width="18" bestFit="1" customWidth="1"/>
  </cols>
  <sheetData>
    <row r="1" spans="2:16" ht="15.75" thickBot="1" x14ac:dyDescent="0.3"/>
    <row r="2" spans="2:16" x14ac:dyDescent="0.25">
      <c r="B2" s="256" t="s">
        <v>254</v>
      </c>
      <c r="C2" s="257"/>
      <c r="D2" s="257"/>
      <c r="E2" s="257"/>
      <c r="F2" s="257"/>
      <c r="G2" s="257"/>
      <c r="H2" s="258"/>
      <c r="O2" s="46" t="s">
        <v>213</v>
      </c>
      <c r="P2" s="46" t="s">
        <v>255</v>
      </c>
    </row>
    <row r="3" spans="2:16" ht="15.75" thickBot="1" x14ac:dyDescent="0.3">
      <c r="B3" s="259" t="s">
        <v>256</v>
      </c>
      <c r="C3" s="260"/>
      <c r="D3" s="260"/>
      <c r="E3" s="260"/>
      <c r="F3" s="260"/>
      <c r="G3" s="260"/>
      <c r="H3" s="261"/>
      <c r="O3" s="46" t="s">
        <v>257</v>
      </c>
      <c r="P3" s="46" t="s">
        <v>258</v>
      </c>
    </row>
    <row r="4" spans="2:16" ht="18.75" thickBot="1" x14ac:dyDescent="0.4">
      <c r="B4" s="262" t="s">
        <v>259</v>
      </c>
      <c r="C4" s="263"/>
      <c r="D4" s="263"/>
      <c r="E4" s="263"/>
      <c r="F4" s="263"/>
      <c r="G4" s="263"/>
      <c r="H4" s="264"/>
      <c r="O4" s="46" t="s">
        <v>260</v>
      </c>
      <c r="P4" s="46" t="s">
        <v>261</v>
      </c>
    </row>
    <row r="5" spans="2:16" ht="18.75" thickBot="1" x14ac:dyDescent="0.4">
      <c r="B5" s="262" t="s">
        <v>262</v>
      </c>
      <c r="C5" s="263"/>
      <c r="D5" s="263"/>
      <c r="E5" s="263"/>
      <c r="F5" s="263"/>
      <c r="G5" s="263"/>
      <c r="H5" s="264"/>
      <c r="O5" s="46" t="s">
        <v>263</v>
      </c>
      <c r="P5" s="46" t="s">
        <v>264</v>
      </c>
    </row>
    <row r="6" spans="2:16" ht="18.75" thickBot="1" x14ac:dyDescent="0.4">
      <c r="B6" s="253" t="s">
        <v>265</v>
      </c>
      <c r="C6" s="254"/>
      <c r="D6" s="254"/>
      <c r="E6" s="254"/>
      <c r="F6" s="254"/>
      <c r="G6" s="254"/>
      <c r="H6" s="255"/>
      <c r="O6" s="46" t="s">
        <v>266</v>
      </c>
      <c r="P6" s="46" t="s">
        <v>267</v>
      </c>
    </row>
    <row r="7" spans="2:16" ht="18" x14ac:dyDescent="0.35">
      <c r="O7" s="46" t="s">
        <v>268</v>
      </c>
      <c r="P7" s="46" t="s">
        <v>269</v>
      </c>
    </row>
    <row r="8" spans="2:16" ht="18" x14ac:dyDescent="0.35">
      <c r="O8" s="46" t="s">
        <v>270</v>
      </c>
      <c r="P8" s="46" t="s">
        <v>271</v>
      </c>
    </row>
    <row r="9" spans="2:16" x14ac:dyDescent="0.25">
      <c r="B9" s="136" t="s">
        <v>272</v>
      </c>
      <c r="C9" s="136" t="s">
        <v>213</v>
      </c>
      <c r="D9" s="136" t="s">
        <v>273</v>
      </c>
      <c r="E9" s="136" t="s">
        <v>274</v>
      </c>
      <c r="F9" s="136" t="s">
        <v>275</v>
      </c>
      <c r="G9" s="136" t="s">
        <v>276</v>
      </c>
      <c r="H9" s="67" t="s">
        <v>277</v>
      </c>
      <c r="I9" s="67" t="s">
        <v>278</v>
      </c>
      <c r="J9" s="67" t="s">
        <v>279</v>
      </c>
      <c r="K9" s="67" t="s">
        <v>280</v>
      </c>
    </row>
    <row r="10" spans="2:16" x14ac:dyDescent="0.25">
      <c r="B10" s="136" t="s">
        <v>211</v>
      </c>
      <c r="C10" s="193">
        <v>350</v>
      </c>
      <c r="D10" s="63">
        <f t="shared" ref="D10:D15" si="0">C10*I10</f>
        <v>700</v>
      </c>
      <c r="E10" s="51">
        <f>C10*H10+I10*D10</f>
        <v>1750</v>
      </c>
      <c r="F10" s="51">
        <f>C10*H10</f>
        <v>350</v>
      </c>
      <c r="G10" s="51">
        <f t="shared" ref="G10:G15" si="1">C10*H10+D10</f>
        <v>1050</v>
      </c>
      <c r="H10" s="46">
        <v>1</v>
      </c>
      <c r="I10" s="46">
        <v>2</v>
      </c>
      <c r="J10" s="68">
        <v>20</v>
      </c>
      <c r="K10" s="69">
        <f t="shared" ref="K10:K15" si="2">C10*J10</f>
        <v>7000</v>
      </c>
    </row>
    <row r="11" spans="2:16" x14ac:dyDescent="0.25">
      <c r="B11" s="136" t="s">
        <v>212</v>
      </c>
      <c r="C11" s="193">
        <v>300</v>
      </c>
      <c r="D11" s="63">
        <f t="shared" si="0"/>
        <v>240</v>
      </c>
      <c r="E11" s="51">
        <f t="shared" ref="E11:E15" si="3">C11*H11+I11*D11</f>
        <v>342</v>
      </c>
      <c r="F11" s="51">
        <f t="shared" ref="F11:F15" si="4">C11*H11</f>
        <v>150</v>
      </c>
      <c r="G11" s="51">
        <f t="shared" si="1"/>
        <v>390</v>
      </c>
      <c r="H11" s="46">
        <v>0.5</v>
      </c>
      <c r="I11" s="46">
        <v>0.8</v>
      </c>
      <c r="J11" s="68">
        <v>15</v>
      </c>
      <c r="K11" s="69">
        <f t="shared" si="2"/>
        <v>4500</v>
      </c>
    </row>
    <row r="12" spans="2:16" x14ac:dyDescent="0.25">
      <c r="B12" s="136" t="s">
        <v>213</v>
      </c>
      <c r="C12" s="193">
        <v>180</v>
      </c>
      <c r="D12" s="63">
        <f t="shared" si="0"/>
        <v>180</v>
      </c>
      <c r="E12" s="51">
        <f t="shared" si="3"/>
        <v>360</v>
      </c>
      <c r="F12" s="51">
        <f t="shared" si="4"/>
        <v>180</v>
      </c>
      <c r="G12" s="51">
        <f t="shared" si="1"/>
        <v>360</v>
      </c>
      <c r="H12" s="46">
        <v>1</v>
      </c>
      <c r="I12" s="46">
        <v>1</v>
      </c>
      <c r="J12" s="68">
        <v>20</v>
      </c>
      <c r="K12" s="69">
        <f t="shared" si="2"/>
        <v>3600</v>
      </c>
    </row>
    <row r="13" spans="2:16" x14ac:dyDescent="0.25">
      <c r="B13" s="136" t="s">
        <v>281</v>
      </c>
      <c r="C13" s="193">
        <v>10</v>
      </c>
      <c r="D13" s="63">
        <f t="shared" si="0"/>
        <v>15</v>
      </c>
      <c r="E13" s="51">
        <f t="shared" si="3"/>
        <v>42.5</v>
      </c>
      <c r="F13" s="51">
        <f t="shared" si="4"/>
        <v>20</v>
      </c>
      <c r="G13" s="51">
        <f t="shared" si="1"/>
        <v>35</v>
      </c>
      <c r="H13" s="46">
        <v>2</v>
      </c>
      <c r="I13" s="46">
        <v>1.5</v>
      </c>
      <c r="J13" s="68">
        <v>200</v>
      </c>
      <c r="K13" s="69">
        <f t="shared" si="2"/>
        <v>2000</v>
      </c>
    </row>
    <row r="14" spans="2:16" x14ac:dyDescent="0.25">
      <c r="B14" s="136" t="s">
        <v>282</v>
      </c>
      <c r="C14" s="193">
        <v>5</v>
      </c>
      <c r="D14" s="63">
        <f t="shared" si="0"/>
        <v>5</v>
      </c>
      <c r="E14" s="51">
        <f t="shared" si="3"/>
        <v>10</v>
      </c>
      <c r="F14" s="51">
        <f t="shared" si="4"/>
        <v>5</v>
      </c>
      <c r="G14" s="51">
        <f t="shared" si="1"/>
        <v>10</v>
      </c>
      <c r="H14" s="46">
        <v>1</v>
      </c>
      <c r="I14" s="46">
        <v>1</v>
      </c>
      <c r="J14" s="68">
        <v>300</v>
      </c>
      <c r="K14" s="69">
        <f t="shared" si="2"/>
        <v>1500</v>
      </c>
    </row>
    <row r="15" spans="2:16" x14ac:dyDescent="0.25">
      <c r="B15" s="136" t="s">
        <v>77</v>
      </c>
      <c r="C15" s="193">
        <v>2</v>
      </c>
      <c r="D15" s="63">
        <f t="shared" si="0"/>
        <v>4</v>
      </c>
      <c r="E15" s="51">
        <f t="shared" si="3"/>
        <v>11</v>
      </c>
      <c r="F15" s="51">
        <f t="shared" si="4"/>
        <v>3</v>
      </c>
      <c r="G15" s="51">
        <f t="shared" si="1"/>
        <v>7</v>
      </c>
      <c r="H15" s="46">
        <v>1.5</v>
      </c>
      <c r="I15" s="46">
        <v>2</v>
      </c>
      <c r="J15" s="68">
        <v>700</v>
      </c>
      <c r="K15" s="69">
        <f t="shared" si="2"/>
        <v>1400</v>
      </c>
    </row>
  </sheetData>
  <mergeCells count="5">
    <mergeCell ref="B6:H6"/>
    <mergeCell ref="B2:H2"/>
    <mergeCell ref="B3:H3"/>
    <mergeCell ref="B4:H4"/>
    <mergeCell ref="B5:H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49285AE653484390303C989140676B" ma:contentTypeVersion="2" ma:contentTypeDescription="Crie um novo documento." ma:contentTypeScope="" ma:versionID="2e98168775a9b0bc7f0013ca08cf1f32">
  <xsd:schema xmlns:xsd="http://www.w3.org/2001/XMLSchema" xmlns:xs="http://www.w3.org/2001/XMLSchema" xmlns:p="http://schemas.microsoft.com/office/2006/metadata/properties" xmlns:ns2="07a0505b-1e57-4507-9242-757b7dbff462" targetNamespace="http://schemas.microsoft.com/office/2006/metadata/properties" ma:root="true" ma:fieldsID="a527662267be9a521a6e5de7191601ea" ns2:_="">
    <xsd:import namespace="07a0505b-1e57-4507-9242-757b7dbff4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0505b-1e57-4507-9242-757b7dbff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53AAA-E400-417A-97C6-86C0DDBEF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0505b-1e57-4507-9242-757b7dbff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6100B2-FD42-4781-9C88-AB9BDB07B3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63A1DC-543C-4816-BB9B-717D72515A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ROG</vt:lpstr>
      <vt:lpstr>ROG AUTO</vt:lpstr>
      <vt:lpstr>MTTR_MTBF</vt:lpstr>
      <vt:lpstr>MTTR_MTBF AUTO</vt:lpstr>
      <vt:lpstr>Historico</vt:lpstr>
      <vt:lpstr>Backlog</vt:lpstr>
      <vt:lpstr>ABC</vt:lpstr>
      <vt:lpstr>FÓRMULAS - ROG</vt:lpstr>
      <vt:lpstr>ESTOQUE</vt:lpstr>
      <vt:lpstr>FMEA FORM</vt:lpstr>
      <vt:lpstr>'FMEA FORM'!Area_de_impressao</vt:lpstr>
    </vt:vector>
  </TitlesOfParts>
  <Manager/>
  <Company>SESI SENAI 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Roberto de Oliveira Junior</dc:creator>
  <cp:keywords/>
  <dc:description/>
  <cp:lastModifiedBy>Aluno</cp:lastModifiedBy>
  <cp:revision/>
  <dcterms:created xsi:type="dcterms:W3CDTF">2018-10-16T16:21:09Z</dcterms:created>
  <dcterms:modified xsi:type="dcterms:W3CDTF">2022-02-12T19:10:44Z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0x0101009649285AE653484390303C989140676B</vt:lpwstr>
  </property>
</Properties>
</file>